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4355" windowHeight="7965"/>
  </bookViews>
  <sheets>
    <sheet name="data" sheetId="1" r:id="rId1"/>
    <sheet name="výpočty" sheetId="2" r:id="rId2"/>
    <sheet name="výpočty2" sheetId="3" r:id="rId3"/>
    <sheet name="výpočty3" sheetId="4" r:id="rId4"/>
    <sheet name="výpočty4" sheetId="5" r:id="rId5"/>
  </sheets>
  <calcPr calcId="124519"/>
</workbook>
</file>

<file path=xl/calcChain.xml><?xml version="1.0" encoding="utf-8"?>
<calcChain xmlns="http://schemas.openxmlformats.org/spreadsheetml/2006/main">
  <c r="AM15" i="4"/>
  <c r="AL15"/>
  <c r="AK15"/>
  <c r="AJ15"/>
  <c r="AI15"/>
  <c r="AH15"/>
  <c r="AG15"/>
  <c r="AF15"/>
  <c r="AE15"/>
  <c r="AD15"/>
  <c r="AC15"/>
  <c r="AB15"/>
  <c r="AA15"/>
  <c r="Z15"/>
  <c r="Y15"/>
  <c r="X15"/>
  <c r="W15"/>
  <c r="AM2"/>
  <c r="AL2"/>
  <c r="AM1"/>
  <c r="AM8" s="1"/>
  <c r="AM6"/>
  <c r="A18" i="5"/>
  <c r="A17"/>
  <c r="A16"/>
  <c r="A15"/>
  <c r="A14"/>
  <c r="A13"/>
  <c r="A12"/>
  <c r="A11"/>
  <c r="A10"/>
  <c r="A9"/>
  <c r="A8"/>
  <c r="A7"/>
  <c r="H6" i="1"/>
  <c r="H5"/>
  <c r="H4"/>
  <c r="Y2" i="4"/>
  <c r="X2"/>
  <c r="W2"/>
  <c r="Y1"/>
  <c r="Y8" s="1"/>
  <c r="Y6"/>
  <c r="X1"/>
  <c r="X8" s="1"/>
  <c r="X6"/>
  <c r="W1"/>
  <c r="W7" s="1"/>
  <c r="W14" s="1"/>
  <c r="W6"/>
  <c r="AK2"/>
  <c r="AJ2"/>
  <c r="AI2"/>
  <c r="AH2"/>
  <c r="AG2"/>
  <c r="AF2"/>
  <c r="AE2"/>
  <c r="AD2"/>
  <c r="AC2"/>
  <c r="AB2"/>
  <c r="AA2"/>
  <c r="Z2"/>
  <c r="AK1"/>
  <c r="AK8" s="1"/>
  <c r="AK6"/>
  <c r="AJ1"/>
  <c r="AJ8" s="1"/>
  <c r="AJ6"/>
  <c r="AI1"/>
  <c r="AI8" s="1"/>
  <c r="AI6"/>
  <c r="AH1"/>
  <c r="AH8" s="1"/>
  <c r="AH6"/>
  <c r="AG1"/>
  <c r="AG8" s="1"/>
  <c r="AG6"/>
  <c r="AF1"/>
  <c r="AF8" s="1"/>
  <c r="AF6"/>
  <c r="AE1"/>
  <c r="AE8" s="1"/>
  <c r="AE6"/>
  <c r="AD1"/>
  <c r="AD8" s="1"/>
  <c r="AD6"/>
  <c r="AC1"/>
  <c r="AC8" s="1"/>
  <c r="AC6"/>
  <c r="AB1"/>
  <c r="AB8" s="1"/>
  <c r="AB6"/>
  <c r="AA1"/>
  <c r="AA8" s="1"/>
  <c r="AA6"/>
  <c r="Z1"/>
  <c r="Z8" s="1"/>
  <c r="Z6"/>
  <c r="O1"/>
  <c r="K1"/>
  <c r="H7" i="1"/>
  <c r="B7" i="5" s="1"/>
  <c r="H8" i="1"/>
  <c r="B8" i="5"/>
  <c r="H9" i="1"/>
  <c r="B9" i="5" s="1"/>
  <c r="H10" i="1"/>
  <c r="B10" i="5" s="1"/>
  <c r="C37" i="2"/>
  <c r="H20" i="1"/>
  <c r="A4" i="2"/>
  <c r="H18" i="1"/>
  <c r="B18" i="5"/>
  <c r="H17" i="1"/>
  <c r="B17" i="5" s="1"/>
  <c r="H16" i="1"/>
  <c r="B16" i="5"/>
  <c r="L47" i="2"/>
  <c r="A12"/>
  <c r="H15" i="1"/>
  <c r="B15" i="5"/>
  <c r="K47" i="2"/>
  <c r="A11"/>
  <c r="H14" i="1"/>
  <c r="B14" i="5" s="1"/>
  <c r="H13" i="1"/>
  <c r="B13" i="5"/>
  <c r="I47" i="2"/>
  <c r="A9"/>
  <c r="H12" i="1"/>
  <c r="B12" i="5" s="1"/>
  <c r="H11" i="1"/>
  <c r="B11" i="5" s="1"/>
  <c r="F47" i="2"/>
  <c r="A6"/>
  <c r="A5"/>
  <c r="A14"/>
  <c r="B14"/>
  <c r="B4"/>
  <c r="B5"/>
  <c r="B6"/>
  <c r="B9"/>
  <c r="B11"/>
  <c r="B12"/>
  <c r="D44"/>
  <c r="E44"/>
  <c r="F44"/>
  <c r="G44"/>
  <c r="I44"/>
  <c r="J44"/>
  <c r="K45"/>
  <c r="C45"/>
  <c r="D45"/>
  <c r="E45"/>
  <c r="F45"/>
  <c r="I45"/>
  <c r="E43"/>
  <c r="I43"/>
  <c r="D40"/>
  <c r="F40"/>
  <c r="C42"/>
  <c r="D42"/>
  <c r="E42"/>
  <c r="F42"/>
  <c r="C39"/>
  <c r="D39"/>
  <c r="E39"/>
  <c r="B5" i="3"/>
  <c r="B6"/>
  <c r="C47" i="2"/>
  <c r="D47"/>
  <c r="E47"/>
  <c r="AK3" i="4"/>
  <c r="AK9" s="1"/>
  <c r="AK12" s="1"/>
  <c r="AK4"/>
  <c r="AK5"/>
  <c r="AK10"/>
  <c r="B7" i="3"/>
  <c r="B8"/>
  <c r="B10"/>
  <c r="B11"/>
  <c r="B12"/>
  <c r="B13"/>
  <c r="B15"/>
  <c r="Z3" i="4"/>
  <c r="Z9" s="1"/>
  <c r="AA3"/>
  <c r="AA9" s="1"/>
  <c r="AB3"/>
  <c r="AB9" s="1"/>
  <c r="AC3"/>
  <c r="AC9" s="1"/>
  <c r="AD3"/>
  <c r="AD9" s="1"/>
  <c r="AE3"/>
  <c r="AE9" s="1"/>
  <c r="AF3"/>
  <c r="AF9" s="1"/>
  <c r="AG3"/>
  <c r="AG9" s="1"/>
  <c r="AH3"/>
  <c r="AH9" s="1"/>
  <c r="AI3"/>
  <c r="AI9" s="1"/>
  <c r="AJ3"/>
  <c r="AJ9" s="1"/>
  <c r="Z4"/>
  <c r="Z10" s="1"/>
  <c r="AA4"/>
  <c r="AA10" s="1"/>
  <c r="AB4"/>
  <c r="AB10" s="1"/>
  <c r="AC4"/>
  <c r="AC10" s="1"/>
  <c r="AD4"/>
  <c r="AD10" s="1"/>
  <c r="AE4"/>
  <c r="AE10" s="1"/>
  <c r="AF4"/>
  <c r="AF10" s="1"/>
  <c r="AG4"/>
  <c r="AG10" s="1"/>
  <c r="AH4"/>
  <c r="AH10" s="1"/>
  <c r="AI4"/>
  <c r="AI10" s="1"/>
  <c r="AJ4"/>
  <c r="AJ10" s="1"/>
  <c r="Z5"/>
  <c r="AA5"/>
  <c r="AB5"/>
  <c r="AC5"/>
  <c r="AD5"/>
  <c r="AE5"/>
  <c r="AF5"/>
  <c r="AG5"/>
  <c r="AH5"/>
  <c r="AI5"/>
  <c r="AJ5"/>
  <c r="W3"/>
  <c r="W9"/>
  <c r="X3"/>
  <c r="X9"/>
  <c r="Y3"/>
  <c r="Y9"/>
  <c r="W4"/>
  <c r="W10"/>
  <c r="X4"/>
  <c r="X10"/>
  <c r="Y4"/>
  <c r="Y10"/>
  <c r="W5"/>
  <c r="X5"/>
  <c r="Y5"/>
  <c r="Y12"/>
  <c r="D6" i="1" s="1"/>
  <c r="D18" i="5"/>
  <c r="AM3" i="4"/>
  <c r="AM9" s="1"/>
  <c r="AM4"/>
  <c r="AM10" s="1"/>
  <c r="AM5"/>
  <c r="G47" i="2"/>
  <c r="G42"/>
  <c r="E40"/>
  <c r="C40"/>
  <c r="G43"/>
  <c r="G45"/>
  <c r="B7"/>
  <c r="A7"/>
  <c r="F4" i="1" l="1"/>
  <c r="I46" i="2"/>
  <c r="I1" s="1"/>
  <c r="I13" s="1"/>
  <c r="A13"/>
  <c r="F46"/>
  <c r="E46"/>
  <c r="B14" i="3"/>
  <c r="B13" i="2"/>
  <c r="I7"/>
  <c r="C46"/>
  <c r="G46"/>
  <c r="K46"/>
  <c r="K1" s="1"/>
  <c r="M47"/>
  <c r="M1" s="1"/>
  <c r="M14" s="1"/>
  <c r="D17" i="5"/>
  <c r="D16" s="1"/>
  <c r="D15" s="1"/>
  <c r="L46" i="2"/>
  <c r="L1" s="1"/>
  <c r="L8" s="1"/>
  <c r="D46"/>
  <c r="I8"/>
  <c r="H42"/>
  <c r="E41"/>
  <c r="C41"/>
  <c r="H44"/>
  <c r="H46"/>
  <c r="B8"/>
  <c r="G41"/>
  <c r="B9" i="3"/>
  <c r="H45" i="2"/>
  <c r="F41"/>
  <c r="D41"/>
  <c r="D1" s="1"/>
  <c r="D5" s="1"/>
  <c r="H47"/>
  <c r="A8"/>
  <c r="D38"/>
  <c r="B4" i="3"/>
  <c r="C43" i="2"/>
  <c r="C44"/>
  <c r="B3"/>
  <c r="A3"/>
  <c r="C38"/>
  <c r="J47"/>
  <c r="D14" i="5"/>
  <c r="D13" s="1"/>
  <c r="D12" s="1"/>
  <c r="D11" s="1"/>
  <c r="D10" s="1"/>
  <c r="D9" s="1"/>
  <c r="D8" s="1"/>
  <c r="D7" s="1"/>
  <c r="J45" i="2"/>
  <c r="F43"/>
  <c r="F1" s="1"/>
  <c r="F9" s="1"/>
  <c r="D43"/>
  <c r="H43"/>
  <c r="J46"/>
  <c r="J1" s="1"/>
  <c r="B10"/>
  <c r="A10"/>
  <c r="AM12" i="4"/>
  <c r="D20" i="1" s="1"/>
  <c r="X12" i="4"/>
  <c r="D5" i="1" s="1"/>
  <c r="I9" i="2"/>
  <c r="I4"/>
  <c r="I14"/>
  <c r="W8" i="4"/>
  <c r="Y7"/>
  <c r="Y14" s="1"/>
  <c r="F6" i="1" s="1"/>
  <c r="AA7" i="4"/>
  <c r="AA14" s="1"/>
  <c r="F8" i="1" s="1"/>
  <c r="AC7" i="4"/>
  <c r="AC14" s="1"/>
  <c r="F10" i="1" s="1"/>
  <c r="AE7" i="4"/>
  <c r="AE14" s="1"/>
  <c r="F12" i="1" s="1"/>
  <c r="AG7" i="4"/>
  <c r="AG14" s="1"/>
  <c r="F14" i="1" s="1"/>
  <c r="AI7" i="4"/>
  <c r="AI14" s="1"/>
  <c r="F16" i="1" s="1"/>
  <c r="AK7" i="4"/>
  <c r="AK14" s="1"/>
  <c r="F18" i="1" s="1"/>
  <c r="AM7" i="4"/>
  <c r="AM14" s="1"/>
  <c r="F20" i="1" s="1"/>
  <c r="X7" i="4"/>
  <c r="X14" s="1"/>
  <c r="F5" i="1" s="1"/>
  <c r="Z7" i="4"/>
  <c r="Z14" s="1"/>
  <c r="F7" i="1" s="1"/>
  <c r="AB7" i="4"/>
  <c r="AB14" s="1"/>
  <c r="F9" i="1" s="1"/>
  <c r="AD7" i="4"/>
  <c r="AD14" s="1"/>
  <c r="F11" i="1" s="1"/>
  <c r="AF7" i="4"/>
  <c r="AF14" s="1"/>
  <c r="F13" i="1" s="1"/>
  <c r="AH7" i="4"/>
  <c r="AH14" s="1"/>
  <c r="F15" i="1" s="1"/>
  <c r="AJ7" i="4"/>
  <c r="AJ14" s="1"/>
  <c r="F17" i="1" s="1"/>
  <c r="W12" i="4"/>
  <c r="D4" i="1" s="1"/>
  <c r="D19"/>
  <c r="D18"/>
  <c r="L4" i="2"/>
  <c r="L13"/>
  <c r="L6"/>
  <c r="AI12" i="4"/>
  <c r="D16" i="1" s="1"/>
  <c r="AG12" i="4"/>
  <c r="D14" i="1" s="1"/>
  <c r="AE12" i="4"/>
  <c r="D12" i="1" s="1"/>
  <c r="AC12" i="4"/>
  <c r="D10" i="1" s="1"/>
  <c r="AA12" i="4"/>
  <c r="D8" i="1" s="1"/>
  <c r="M11" i="2"/>
  <c r="M7"/>
  <c r="I11"/>
  <c r="I6"/>
  <c r="I12"/>
  <c r="I3"/>
  <c r="I10"/>
  <c r="AJ12" i="4"/>
  <c r="D17" i="1" s="1"/>
  <c r="AH12" i="4"/>
  <c r="D15" i="1" s="1"/>
  <c r="AF12" i="4"/>
  <c r="D13" i="1" s="1"/>
  <c r="AD12" i="4"/>
  <c r="D11" i="1" s="1"/>
  <c r="AB12" i="4"/>
  <c r="D9" i="1" s="1"/>
  <c r="Z12" i="4"/>
  <c r="D7" i="1" s="1"/>
  <c r="B17" i="3" l="1"/>
  <c r="I5" i="2"/>
  <c r="J5"/>
  <c r="J7"/>
  <c r="M9"/>
  <c r="M13"/>
  <c r="L14"/>
  <c r="L7"/>
  <c r="L12"/>
  <c r="F11"/>
  <c r="B17"/>
  <c r="E1"/>
  <c r="E11" s="1"/>
  <c r="J13"/>
  <c r="K4"/>
  <c r="K5"/>
  <c r="K11"/>
  <c r="K3"/>
  <c r="K14"/>
  <c r="K13"/>
  <c r="K12"/>
  <c r="K7"/>
  <c r="K8"/>
  <c r="K6"/>
  <c r="K10"/>
  <c r="K9"/>
  <c r="J9"/>
  <c r="J4"/>
  <c r="J6"/>
  <c r="J8"/>
  <c r="C1"/>
  <c r="C5" s="1"/>
  <c r="F3"/>
  <c r="M4"/>
  <c r="M5"/>
  <c r="M8"/>
  <c r="M10"/>
  <c r="M3"/>
  <c r="M12"/>
  <c r="M6"/>
  <c r="F7"/>
  <c r="L5"/>
  <c r="L10"/>
  <c r="L9"/>
  <c r="L3"/>
  <c r="L11"/>
  <c r="G1"/>
  <c r="H1"/>
  <c r="H14" s="1"/>
  <c r="A17"/>
  <c r="A24" s="1"/>
  <c r="F10"/>
  <c r="F13"/>
  <c r="F6"/>
  <c r="F4"/>
  <c r="D7"/>
  <c r="F14"/>
  <c r="F5"/>
  <c r="F12"/>
  <c r="E7" i="1"/>
  <c r="D10" i="2"/>
  <c r="D13"/>
  <c r="C13"/>
  <c r="C12"/>
  <c r="C3"/>
  <c r="O9" i="1"/>
  <c r="N9" s="1"/>
  <c r="A26" i="2"/>
  <c r="O6" i="1"/>
  <c r="N6" s="1"/>
  <c r="L17" i="2"/>
  <c r="L25" s="1"/>
  <c r="F8"/>
  <c r="E6" i="1"/>
  <c r="E4"/>
  <c r="E11"/>
  <c r="E15"/>
  <c r="E10"/>
  <c r="E14"/>
  <c r="E18"/>
  <c r="E5"/>
  <c r="E9"/>
  <c r="E13"/>
  <c r="E17"/>
  <c r="E8"/>
  <c r="E12"/>
  <c r="E16"/>
  <c r="E19"/>
  <c r="E20"/>
  <c r="A23" i="2"/>
  <c r="J10"/>
  <c r="A30"/>
  <c r="D6"/>
  <c r="D14"/>
  <c r="J12"/>
  <c r="J14"/>
  <c r="J3"/>
  <c r="J11"/>
  <c r="O5" i="1"/>
  <c r="N5" s="1"/>
  <c r="O15"/>
  <c r="N15" s="1"/>
  <c r="D9" i="2"/>
  <c r="D3"/>
  <c r="D8"/>
  <c r="D12"/>
  <c r="D4"/>
  <c r="D11"/>
  <c r="B30"/>
  <c r="R18" i="1"/>
  <c r="B27" i="2"/>
  <c r="R14" i="1"/>
  <c r="R12"/>
  <c r="B19" i="2"/>
  <c r="B24"/>
  <c r="R11" i="1"/>
  <c r="R16"/>
  <c r="B25" i="2"/>
  <c r="B26"/>
  <c r="R9" i="1"/>
  <c r="R17"/>
  <c r="R10"/>
  <c r="R7"/>
  <c r="B21" i="2"/>
  <c r="B20"/>
  <c r="R8" i="1"/>
  <c r="B22" i="2"/>
  <c r="B29"/>
  <c r="R6" i="1"/>
  <c r="R4"/>
  <c r="R5"/>
  <c r="B28" i="2"/>
  <c r="R15" i="1"/>
  <c r="R20"/>
  <c r="R13"/>
  <c r="E7" i="2"/>
  <c r="E10"/>
  <c r="E4"/>
  <c r="E5"/>
  <c r="E9"/>
  <c r="E8"/>
  <c r="I17"/>
  <c r="I26" s="1"/>
  <c r="K17"/>
  <c r="K24" s="1"/>
  <c r="B23"/>
  <c r="J17" l="1"/>
  <c r="J21" s="1"/>
  <c r="E14"/>
  <c r="E6"/>
  <c r="E13"/>
  <c r="E12"/>
  <c r="E3"/>
  <c r="H4"/>
  <c r="C10"/>
  <c r="C14"/>
  <c r="C9"/>
  <c r="P9" i="1"/>
  <c r="P15"/>
  <c r="O8"/>
  <c r="N8" s="1"/>
  <c r="O7"/>
  <c r="P7" s="1"/>
  <c r="A22" i="2"/>
  <c r="A27"/>
  <c r="A20"/>
  <c r="O20" i="1"/>
  <c r="A25" i="2"/>
  <c r="O10" i="1"/>
  <c r="M17" i="2"/>
  <c r="M19" s="1"/>
  <c r="H12"/>
  <c r="H3"/>
  <c r="O18" i="1"/>
  <c r="N18" s="1"/>
  <c r="A21" i="2"/>
  <c r="O13" i="1"/>
  <c r="N13" s="1"/>
  <c r="O12"/>
  <c r="P12" s="1"/>
  <c r="O14"/>
  <c r="P14" s="1"/>
  <c r="O4"/>
  <c r="P4" s="1"/>
  <c r="A29" i="2"/>
  <c r="A19"/>
  <c r="A28"/>
  <c r="O17" i="1"/>
  <c r="P17" s="1"/>
  <c r="O16"/>
  <c r="N16" s="1"/>
  <c r="O11"/>
  <c r="C4" i="2"/>
  <c r="C11"/>
  <c r="C6"/>
  <c r="C7"/>
  <c r="C8"/>
  <c r="H8"/>
  <c r="G10"/>
  <c r="G9"/>
  <c r="G5"/>
  <c r="G13"/>
  <c r="G3"/>
  <c r="G7"/>
  <c r="G8"/>
  <c r="G11"/>
  <c r="G4"/>
  <c r="G14"/>
  <c r="G6"/>
  <c r="G12"/>
  <c r="L26"/>
  <c r="H7"/>
  <c r="H5"/>
  <c r="H6"/>
  <c r="H13"/>
  <c r="H10"/>
  <c r="H11"/>
  <c r="H9"/>
  <c r="N7" i="1"/>
  <c r="L28" i="2"/>
  <c r="L21"/>
  <c r="P6" i="1"/>
  <c r="L29" i="2"/>
  <c r="L19"/>
  <c r="L24"/>
  <c r="K29"/>
  <c r="K22"/>
  <c r="P5" i="1"/>
  <c r="L22" i="2"/>
  <c r="L27"/>
  <c r="L30"/>
  <c r="L20"/>
  <c r="L23"/>
  <c r="F17"/>
  <c r="F20" s="1"/>
  <c r="K27"/>
  <c r="K25"/>
  <c r="K23"/>
  <c r="M27"/>
  <c r="D17"/>
  <c r="D22" s="1"/>
  <c r="J22"/>
  <c r="N4" i="1"/>
  <c r="J27" i="2"/>
  <c r="J26"/>
  <c r="A33"/>
  <c r="I27"/>
  <c r="P8" i="1"/>
  <c r="J24" i="2"/>
  <c r="J20"/>
  <c r="I22"/>
  <c r="J28"/>
  <c r="J25"/>
  <c r="K30"/>
  <c r="J23"/>
  <c r="J29"/>
  <c r="K26"/>
  <c r="M22"/>
  <c r="J30"/>
  <c r="K21"/>
  <c r="K20"/>
  <c r="I30"/>
  <c r="I23"/>
  <c r="I24"/>
  <c r="I25"/>
  <c r="I21"/>
  <c r="I29"/>
  <c r="I20"/>
  <c r="Q13" i="1"/>
  <c r="S13"/>
  <c r="S15"/>
  <c r="Q15"/>
  <c r="Q5"/>
  <c r="S5"/>
  <c r="Q6"/>
  <c r="S6"/>
  <c r="S8"/>
  <c r="Q8"/>
  <c r="Q10"/>
  <c r="S10"/>
  <c r="Q9"/>
  <c r="S9"/>
  <c r="S11"/>
  <c r="Q11"/>
  <c r="Q14"/>
  <c r="S14"/>
  <c r="Q18"/>
  <c r="S18"/>
  <c r="B33" i="2"/>
  <c r="M30"/>
  <c r="M20"/>
  <c r="S20" i="1"/>
  <c r="Q20"/>
  <c r="S4"/>
  <c r="Q4"/>
  <c r="Q7"/>
  <c r="S7"/>
  <c r="S17"/>
  <c r="Q17"/>
  <c r="S16"/>
  <c r="Q16"/>
  <c r="S12"/>
  <c r="Q12"/>
  <c r="I28" i="2"/>
  <c r="K28"/>
  <c r="K19"/>
  <c r="I19"/>
  <c r="J19"/>
  <c r="E17" l="1"/>
  <c r="E24" s="1"/>
  <c r="M21"/>
  <c r="M24"/>
  <c r="M26"/>
  <c r="M25"/>
  <c r="M29"/>
  <c r="N12" i="1"/>
  <c r="M28" i="2"/>
  <c r="N17" i="1"/>
  <c r="M23" i="2"/>
  <c r="N10" i="1"/>
  <c r="P10"/>
  <c r="P20"/>
  <c r="N20"/>
  <c r="H17" i="2"/>
  <c r="H19" s="1"/>
  <c r="C17"/>
  <c r="D28"/>
  <c r="P18" i="1"/>
  <c r="P13"/>
  <c r="N14"/>
  <c r="H24" i="2"/>
  <c r="C27"/>
  <c r="C25"/>
  <c r="P11" i="1"/>
  <c r="N11"/>
  <c r="P16"/>
  <c r="G17" i="2"/>
  <c r="G26" s="1"/>
  <c r="F24"/>
  <c r="D27"/>
  <c r="D25"/>
  <c r="D26"/>
  <c r="F26"/>
  <c r="C23"/>
  <c r="C19"/>
  <c r="C24"/>
  <c r="C26"/>
  <c r="C28"/>
  <c r="E30"/>
  <c r="C21"/>
  <c r="C30"/>
  <c r="C29"/>
  <c r="C20"/>
  <c r="C22"/>
  <c r="L33"/>
  <c r="F27"/>
  <c r="F21"/>
  <c r="F30"/>
  <c r="F23"/>
  <c r="F19"/>
  <c r="F28"/>
  <c r="F25"/>
  <c r="F22"/>
  <c r="F29"/>
  <c r="D21"/>
  <c r="H20"/>
  <c r="D19"/>
  <c r="D20"/>
  <c r="D24"/>
  <c r="D29"/>
  <c r="D30"/>
  <c r="H30"/>
  <c r="D23"/>
  <c r="E27"/>
  <c r="E29"/>
  <c r="H26"/>
  <c r="H22"/>
  <c r="E28"/>
  <c r="E22"/>
  <c r="J33"/>
  <c r="K33"/>
  <c r="M33"/>
  <c r="I33"/>
  <c r="E23"/>
  <c r="E20"/>
  <c r="E25"/>
  <c r="E19"/>
  <c r="E26"/>
  <c r="E21"/>
  <c r="H27" l="1"/>
  <c r="H23"/>
  <c r="H29"/>
  <c r="H21"/>
  <c r="H25"/>
  <c r="H28"/>
  <c r="G24"/>
  <c r="G19"/>
  <c r="G22"/>
  <c r="G23"/>
  <c r="G29"/>
  <c r="G30"/>
  <c r="G27"/>
  <c r="G28"/>
  <c r="G25"/>
  <c r="G20"/>
  <c r="G21"/>
  <c r="D33"/>
  <c r="F33"/>
  <c r="C33"/>
  <c r="H33"/>
  <c r="E33"/>
  <c r="G33" l="1"/>
  <c r="O33" s="1"/>
  <c r="A34" s="1"/>
  <c r="D34" l="1"/>
  <c r="H34"/>
  <c r="L34"/>
  <c r="E34"/>
  <c r="G34"/>
  <c r="K34"/>
  <c r="M34"/>
  <c r="J34"/>
  <c r="C34"/>
  <c r="B34"/>
  <c r="F34"/>
  <c r="I34"/>
  <c r="O34" l="1"/>
  <c r="O1" s="1"/>
  <c r="O12" s="1"/>
  <c r="O6" l="1"/>
  <c r="O11"/>
  <c r="O14"/>
  <c r="O4"/>
  <c r="O5"/>
  <c r="O3"/>
  <c r="K1" i="1"/>
  <c r="L1" s="1"/>
  <c r="O10" i="2"/>
  <c r="O8"/>
  <c r="O9"/>
  <c r="O13"/>
  <c r="O7"/>
  <c r="O17" l="1"/>
  <c r="L6" i="1" s="1"/>
  <c r="L20" l="1"/>
  <c r="K20" s="1"/>
  <c r="L10"/>
  <c r="M10" s="1"/>
  <c r="L17"/>
  <c r="K17" s="1"/>
  <c r="L9"/>
  <c r="K9" s="1"/>
  <c r="L11"/>
  <c r="K11" s="1"/>
  <c r="L18"/>
  <c r="K18" s="1"/>
  <c r="L8"/>
  <c r="M8" s="1"/>
  <c r="L7"/>
  <c r="M7" s="1"/>
  <c r="L16"/>
  <c r="K16" s="1"/>
  <c r="L5"/>
  <c r="K5" s="1"/>
  <c r="L4"/>
  <c r="M4" s="1"/>
  <c r="L14"/>
  <c r="K14" s="1"/>
  <c r="A19"/>
  <c r="L19" s="1"/>
  <c r="K19" s="1"/>
  <c r="L13"/>
  <c r="M13" s="1"/>
  <c r="L15"/>
  <c r="K15" s="1"/>
  <c r="L12"/>
  <c r="M12" s="1"/>
  <c r="M20"/>
  <c r="K10"/>
  <c r="M6"/>
  <c r="K6"/>
  <c r="M9"/>
  <c r="M18"/>
  <c r="K7"/>
  <c r="M16" l="1"/>
  <c r="A13" i="3" s="1"/>
  <c r="K8" i="1"/>
  <c r="M17"/>
  <c r="A14" i="3" s="1"/>
  <c r="M11" i="1"/>
  <c r="A8" i="3" s="1"/>
  <c r="M14" i="1"/>
  <c r="J14" s="1"/>
  <c r="I14" s="1"/>
  <c r="O19"/>
  <c r="N19" s="1"/>
  <c r="M15"/>
  <c r="A12" i="3" s="1"/>
  <c r="AL1" i="4"/>
  <c r="AL8" s="1"/>
  <c r="K4" i="1"/>
  <c r="K12"/>
  <c r="K13"/>
  <c r="M5"/>
  <c r="R19"/>
  <c r="Q19" s="1"/>
  <c r="H19"/>
  <c r="P19" s="1"/>
  <c r="C17" i="5"/>
  <c r="E17" s="1"/>
  <c r="C17" i="1" s="1"/>
  <c r="C9" i="5"/>
  <c r="E9" s="1"/>
  <c r="C9" i="1" s="1"/>
  <c r="A6" i="3"/>
  <c r="A10"/>
  <c r="C13" i="5"/>
  <c r="E13" s="1"/>
  <c r="C13" i="1" s="1"/>
  <c r="AL3" i="4"/>
  <c r="AL9" s="1"/>
  <c r="AL12" s="1"/>
  <c r="A7" i="3"/>
  <c r="C10" i="5"/>
  <c r="E10" s="1"/>
  <c r="C10" i="1" s="1"/>
  <c r="C8" i="5"/>
  <c r="E8" s="1"/>
  <c r="C8" i="1" s="1"/>
  <c r="A5" i="3"/>
  <c r="C18" i="5"/>
  <c r="E18" s="1"/>
  <c r="C18" i="1" s="1"/>
  <c r="A15" i="3"/>
  <c r="C16" i="5"/>
  <c r="E16" s="1"/>
  <c r="C16" i="1" s="1"/>
  <c r="C7" i="5"/>
  <c r="E7" s="1"/>
  <c r="C7" i="1" s="1"/>
  <c r="A4" i="3"/>
  <c r="C11" i="5"/>
  <c r="E11" s="1"/>
  <c r="C11" i="1" s="1"/>
  <c r="C12" i="5"/>
  <c r="E12" s="1"/>
  <c r="C12" i="1" s="1"/>
  <c r="A9" i="3"/>
  <c r="AL5" i="4" l="1"/>
  <c r="AL7"/>
  <c r="AL14" s="1"/>
  <c r="F19" i="1" s="1"/>
  <c r="G19" s="1"/>
  <c r="J10"/>
  <c r="I10" s="1"/>
  <c r="C14" i="5"/>
  <c r="E14" s="1"/>
  <c r="C14" i="1" s="1"/>
  <c r="J11"/>
  <c r="I11" s="1"/>
  <c r="A11" i="3"/>
  <c r="J15" i="1"/>
  <c r="I15" s="1"/>
  <c r="J17"/>
  <c r="I17" s="1"/>
  <c r="C15" i="5"/>
  <c r="E15" s="1"/>
  <c r="C15" i="1" s="1"/>
  <c r="M19"/>
  <c r="AL6" i="4"/>
  <c r="AL4"/>
  <c r="AL10" s="1"/>
  <c r="J13" i="1"/>
  <c r="I13" s="1"/>
  <c r="J9"/>
  <c r="I9" s="1"/>
  <c r="J16"/>
  <c r="I16" s="1"/>
  <c r="J12"/>
  <c r="I12" s="1"/>
  <c r="J8"/>
  <c r="I8" s="1"/>
  <c r="S19"/>
  <c r="G11"/>
  <c r="G12"/>
  <c r="G5"/>
  <c r="G6"/>
  <c r="G7"/>
  <c r="G8"/>
  <c r="G17"/>
  <c r="G18"/>
  <c r="A17" i="3"/>
  <c r="J20" i="1" s="1"/>
  <c r="I20" s="1"/>
  <c r="G10" l="1"/>
  <c r="G9"/>
  <c r="G4"/>
  <c r="G16"/>
  <c r="G15"/>
  <c r="G14"/>
  <c r="G13"/>
  <c r="G20"/>
</calcChain>
</file>

<file path=xl/sharedStrings.xml><?xml version="1.0" encoding="utf-8"?>
<sst xmlns="http://schemas.openxmlformats.org/spreadsheetml/2006/main" count="22" uniqueCount="12">
  <si>
    <t>vzdálenost</t>
  </si>
  <si>
    <t>čas</t>
  </si>
  <si>
    <t>tempo km</t>
  </si>
  <si>
    <t>procento</t>
  </si>
  <si>
    <t>potenciál maratonec</t>
  </si>
  <si>
    <t>možnost zlepšení</t>
  </si>
  <si>
    <t>potenciál běžec 5-10 km</t>
  </si>
  <si>
    <t>potenciál aktuální</t>
  </si>
  <si>
    <t>muž</t>
  </si>
  <si>
    <t>poznámka</t>
  </si>
  <si>
    <t>k SR</t>
  </si>
  <si>
    <t>maďarské body</t>
  </si>
</sst>
</file>

<file path=xl/styles.xml><?xml version="1.0" encoding="utf-8"?>
<styleSheet xmlns="http://schemas.openxmlformats.org/spreadsheetml/2006/main">
  <numFmts count="9">
    <numFmt numFmtId="164" formatCode="h:mm:ss;@"/>
    <numFmt numFmtId="165" formatCode="0.000"/>
    <numFmt numFmtId="166" formatCode="0.0000"/>
    <numFmt numFmtId="167" formatCode="0.0"/>
    <numFmt numFmtId="168" formatCode="mm:ss.0;@"/>
    <numFmt numFmtId="169" formatCode="0.000E+00"/>
    <numFmt numFmtId="170" formatCode="[$-F400]h:mm:ss\ AM/PM"/>
    <numFmt numFmtId="171" formatCode="0.0000000"/>
    <numFmt numFmtId="172" formatCode="0.0%"/>
  </numFmts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21" fontId="0" fillId="0" borderId="1" xfId="0" applyNumberFormat="1" applyBorder="1" applyAlignment="1">
      <alignment horizontal="center"/>
    </xf>
    <xf numFmtId="21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21" fontId="0" fillId="0" borderId="10" xfId="0" applyNumberFormat="1" applyBorder="1" applyAlignment="1">
      <alignment horizontal="center"/>
    </xf>
    <xf numFmtId="21" fontId="0" fillId="2" borderId="11" xfId="0" applyNumberFormat="1" applyFont="1" applyFill="1" applyBorder="1" applyAlignment="1">
      <alignment horizontal="center"/>
    </xf>
    <xf numFmtId="21" fontId="0" fillId="0" borderId="12" xfId="0" applyNumberForma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21" fontId="0" fillId="0" borderId="3" xfId="0" applyNumberFormat="1" applyBorder="1" applyAlignment="1">
      <alignment horizontal="center"/>
    </xf>
    <xf numFmtId="21" fontId="0" fillId="0" borderId="11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1" fontId="0" fillId="0" borderId="14" xfId="0" applyNumberFormat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21" fontId="0" fillId="2" borderId="17" xfId="0" applyNumberFormat="1" applyFont="1" applyFill="1" applyBorder="1" applyAlignment="1">
      <alignment horizontal="center"/>
    </xf>
    <xf numFmtId="21" fontId="0" fillId="0" borderId="18" xfId="0" applyNumberFormat="1" applyBorder="1" applyAlignment="1">
      <alignment horizontal="center"/>
    </xf>
    <xf numFmtId="21" fontId="0" fillId="0" borderId="17" xfId="0" applyNumberFormat="1" applyBorder="1" applyAlignment="1">
      <alignment horizontal="center"/>
    </xf>
    <xf numFmtId="21" fontId="0" fillId="0" borderId="19" xfId="0" applyNumberFormat="1" applyBorder="1" applyAlignment="1">
      <alignment horizontal="center"/>
    </xf>
    <xf numFmtId="10" fontId="0" fillId="0" borderId="18" xfId="0" applyNumberFormat="1" applyBorder="1" applyAlignment="1">
      <alignment horizontal="center"/>
    </xf>
    <xf numFmtId="21" fontId="0" fillId="0" borderId="20" xfId="0" applyNumberFormat="1" applyBorder="1" applyAlignment="1">
      <alignment horizontal="center"/>
    </xf>
    <xf numFmtId="0" fontId="0" fillId="2" borderId="21" xfId="0" applyFill="1" applyBorder="1" applyAlignment="1">
      <alignment horizontal="center"/>
    </xf>
    <xf numFmtId="21" fontId="0" fillId="0" borderId="23" xfId="0" applyNumberFormat="1" applyBorder="1" applyAlignment="1">
      <alignment horizontal="center"/>
    </xf>
    <xf numFmtId="21" fontId="0" fillId="0" borderId="24" xfId="0" applyNumberFormat="1" applyBorder="1" applyAlignment="1">
      <alignment horizontal="center"/>
    </xf>
    <xf numFmtId="10" fontId="0" fillId="0" borderId="22" xfId="0" applyNumberFormat="1" applyBorder="1" applyAlignment="1">
      <alignment horizontal="center"/>
    </xf>
    <xf numFmtId="21" fontId="0" fillId="0" borderId="25" xfId="0" applyNumberFormat="1" applyBorder="1" applyAlignment="1">
      <alignment horizontal="center"/>
    </xf>
    <xf numFmtId="21" fontId="0" fillId="0" borderId="26" xfId="0" applyNumberFormat="1" applyBorder="1" applyAlignment="1">
      <alignment horizontal="center"/>
    </xf>
    <xf numFmtId="21" fontId="0" fillId="0" borderId="27" xfId="0" applyNumberFormat="1" applyBorder="1" applyAlignment="1">
      <alignment horizontal="center"/>
    </xf>
    <xf numFmtId="10" fontId="0" fillId="0" borderId="25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21" fontId="0" fillId="2" borderId="23" xfId="0" applyNumberFormat="1" applyFill="1" applyBorder="1" applyAlignment="1">
      <alignment horizontal="center"/>
    </xf>
    <xf numFmtId="2" fontId="0" fillId="0" borderId="15" xfId="0" applyNumberFormat="1" applyFont="1" applyFill="1" applyBorder="1" applyAlignment="1">
      <alignment horizontal="center"/>
    </xf>
    <xf numFmtId="21" fontId="0" fillId="3" borderId="26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8" fontId="0" fillId="2" borderId="3" xfId="0" applyNumberFormat="1" applyFont="1" applyFill="1" applyBorder="1" applyAlignment="1">
      <alignment horizontal="center"/>
    </xf>
    <xf numFmtId="168" fontId="0" fillId="2" borderId="28" xfId="0" applyNumberFormat="1" applyFont="1" applyFill="1" applyBorder="1" applyAlignment="1">
      <alignment horizontal="center"/>
    </xf>
    <xf numFmtId="168" fontId="0" fillId="2" borderId="11" xfId="0" applyNumberFormat="1" applyFont="1" applyFill="1" applyBorder="1" applyAlignment="1">
      <alignment horizontal="center"/>
    </xf>
    <xf numFmtId="168" fontId="0" fillId="2" borderId="11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167" fontId="0" fillId="2" borderId="14" xfId="0" applyNumberFormat="1" applyFill="1" applyBorder="1" applyAlignment="1">
      <alignment horizontal="center"/>
    </xf>
    <xf numFmtId="165" fontId="0" fillId="2" borderId="14" xfId="0" applyNumberFormat="1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11" fontId="0" fillId="0" borderId="0" xfId="0" applyNumberFormat="1" applyAlignment="1">
      <alignment horizontal="center"/>
    </xf>
    <xf numFmtId="169" fontId="0" fillId="2" borderId="14" xfId="0" applyNumberFormat="1" applyFill="1" applyBorder="1" applyAlignment="1">
      <alignment horizontal="center"/>
    </xf>
    <xf numFmtId="169" fontId="0" fillId="2" borderId="29" xfId="0" applyNumberFormat="1" applyFill="1" applyBorder="1" applyAlignment="1">
      <alignment horizontal="center"/>
    </xf>
    <xf numFmtId="169" fontId="0" fillId="0" borderId="0" xfId="0" applyNumberFormat="1"/>
    <xf numFmtId="170" fontId="0" fillId="2" borderId="14" xfId="0" applyNumberFormat="1" applyFill="1" applyBorder="1" applyAlignment="1">
      <alignment horizontal="center"/>
    </xf>
    <xf numFmtId="170" fontId="0" fillId="2" borderId="29" xfId="0" applyNumberFormat="1" applyFill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0" fillId="0" borderId="0" xfId="0" applyFill="1" applyAlignment="1">
      <alignment horizontal="center"/>
    </xf>
    <xf numFmtId="21" fontId="0" fillId="0" borderId="0" xfId="0" applyNumberFormat="1" applyAlignment="1">
      <alignment horizontal="center"/>
    </xf>
    <xf numFmtId="171" fontId="0" fillId="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31" xfId="0" applyNumberFormat="1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168" fontId="0" fillId="4" borderId="2" xfId="0" applyNumberFormat="1" applyFill="1" applyBorder="1" applyAlignment="1">
      <alignment horizontal="center"/>
    </xf>
    <xf numFmtId="170" fontId="0" fillId="4" borderId="2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72" fontId="0" fillId="0" borderId="0" xfId="0" applyNumberFormat="1" applyAlignment="1">
      <alignment horizontal="center"/>
    </xf>
    <xf numFmtId="1" fontId="0" fillId="0" borderId="35" xfId="0" applyNumberFormat="1" applyFont="1" applyFill="1" applyBorder="1" applyAlignment="1">
      <alignment horizontal="center"/>
    </xf>
    <xf numFmtId="1" fontId="0" fillId="0" borderId="36" xfId="0" applyNumberFormat="1" applyFont="1" applyFill="1" applyBorder="1" applyAlignment="1">
      <alignment horizontal="center"/>
    </xf>
    <xf numFmtId="1" fontId="0" fillId="0" borderId="34" xfId="0" applyNumberFormat="1" applyFont="1" applyFill="1" applyBorder="1" applyAlignment="1">
      <alignment horizontal="center"/>
    </xf>
    <xf numFmtId="1" fontId="0" fillId="0" borderId="37" xfId="0" applyNumberFormat="1" applyFont="1" applyFill="1" applyBorder="1" applyAlignment="1">
      <alignment horizontal="center"/>
    </xf>
    <xf numFmtId="168" fontId="0" fillId="0" borderId="35" xfId="0" applyNumberFormat="1" applyFont="1" applyFill="1" applyBorder="1" applyAlignment="1">
      <alignment horizontal="center"/>
    </xf>
    <xf numFmtId="168" fontId="0" fillId="0" borderId="40" xfId="0" applyNumberFormat="1" applyFont="1" applyFill="1" applyBorder="1" applyAlignment="1">
      <alignment horizontal="center"/>
    </xf>
    <xf numFmtId="168" fontId="0" fillId="0" borderId="38" xfId="0" applyNumberFormat="1" applyFont="1" applyFill="1" applyBorder="1" applyAlignment="1">
      <alignment horizontal="center"/>
    </xf>
    <xf numFmtId="21" fontId="0" fillId="0" borderId="38" xfId="0" applyNumberFormat="1" applyFont="1" applyFill="1" applyBorder="1" applyAlignment="1">
      <alignment horizontal="center"/>
    </xf>
    <xf numFmtId="21" fontId="0" fillId="0" borderId="32" xfId="0" applyNumberFormat="1" applyFont="1" applyFill="1" applyBorder="1" applyAlignment="1">
      <alignment horizontal="center"/>
    </xf>
    <xf numFmtId="21" fontId="0" fillId="0" borderId="39" xfId="0" applyNumberForma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1" fontId="0" fillId="0" borderId="10" xfId="0" applyNumberFormat="1" applyFont="1" applyFill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" fontId="0" fillId="0" borderId="12" xfId="0" applyNumberFormat="1" applyFont="1" applyFill="1" applyBorder="1" applyAlignment="1">
      <alignment horizontal="center"/>
    </xf>
    <xf numFmtId="1" fontId="0" fillId="0" borderId="4" xfId="0" applyNumberFormat="1" applyFont="1" applyFill="1" applyBorder="1" applyAlignment="1">
      <alignment horizontal="center"/>
    </xf>
    <xf numFmtId="1" fontId="0" fillId="0" borderId="6" xfId="0" applyNumberFormat="1" applyFont="1" applyFill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1" fontId="0" fillId="0" borderId="16" xfId="0" applyNumberFormat="1" applyFont="1" applyFill="1" applyBorder="1" applyAlignment="1">
      <alignment horizontal="center"/>
    </xf>
    <xf numFmtId="1" fontId="0" fillId="0" borderId="26" xfId="0" applyNumberFormat="1" applyFont="1" applyFill="1" applyBorder="1" applyAlignment="1">
      <alignment horizontal="center"/>
    </xf>
    <xf numFmtId="1" fontId="0" fillId="0" borderId="25" xfId="0" applyNumberFormat="1" applyFont="1" applyFill="1" applyBorder="1" applyAlignment="1">
      <alignment horizontal="center"/>
    </xf>
    <xf numFmtId="1" fontId="0" fillId="0" borderId="32" xfId="0" applyNumberFormat="1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1" fillId="0" borderId="44" xfId="0" applyFont="1" applyBorder="1" applyAlignment="1">
      <alignment horizontal="center"/>
    </xf>
    <xf numFmtId="21" fontId="0" fillId="0" borderId="42" xfId="0" applyNumberFormat="1" applyBorder="1" applyAlignment="1">
      <alignment horizontal="center"/>
    </xf>
    <xf numFmtId="21" fontId="0" fillId="0" borderId="43" xfId="0" applyNumberFormat="1" applyBorder="1" applyAlignment="1">
      <alignment horizontal="center"/>
    </xf>
    <xf numFmtId="21" fontId="0" fillId="0" borderId="44" xfId="0" applyNumberFormat="1" applyBorder="1" applyAlignment="1">
      <alignment horizontal="center"/>
    </xf>
    <xf numFmtId="21" fontId="0" fillId="0" borderId="41" xfId="0" applyNumberFormat="1" applyBorder="1" applyAlignment="1">
      <alignment horizontal="center"/>
    </xf>
    <xf numFmtId="21" fontId="0" fillId="0" borderId="33" xfId="0" applyNumberFormat="1" applyBorder="1" applyAlignment="1">
      <alignment horizontal="center"/>
    </xf>
    <xf numFmtId="21" fontId="0" fillId="0" borderId="45" xfId="0" applyNumberFormat="1" applyBorder="1" applyAlignment="1">
      <alignment horizontal="center"/>
    </xf>
    <xf numFmtId="0" fontId="0" fillId="0" borderId="7" xfId="0" applyFill="1" applyBorder="1" applyAlignment="1"/>
    <xf numFmtId="0" fontId="0" fillId="0" borderId="42" xfId="0" applyFill="1" applyBorder="1" applyAlignment="1"/>
    <xf numFmtId="172" fontId="0" fillId="0" borderId="7" xfId="0" applyNumberFormat="1" applyFont="1" applyFill="1" applyBorder="1" applyAlignment="1">
      <alignment horizontal="center"/>
    </xf>
    <xf numFmtId="172" fontId="0" fillId="0" borderId="9" xfId="0" applyNumberFormat="1" applyFont="1" applyFill="1" applyBorder="1" applyAlignment="1">
      <alignment horizontal="center"/>
    </xf>
    <xf numFmtId="172" fontId="0" fillId="0" borderId="8" xfId="0" applyNumberFormat="1" applyFont="1" applyFill="1" applyBorder="1" applyAlignment="1">
      <alignment horizontal="center"/>
    </xf>
    <xf numFmtId="172" fontId="0" fillId="0" borderId="15" xfId="0" applyNumberFormat="1" applyFont="1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6.7106710671067105E-2"/>
          <c:y val="4.5901639344262314E-2"/>
          <c:w val="0.90759075907590758"/>
          <c:h val="0.83934426229508363"/>
        </c:manualLayout>
      </c:layout>
      <c:scatterChart>
        <c:scatterStyle val="lineMarker"/>
        <c:ser>
          <c:idx val="0"/>
          <c:order val="0"/>
          <c:spPr>
            <a:ln w="63500">
              <a:noFill/>
            </a:ln>
          </c:spPr>
          <c:marker>
            <c:symbol val="diamond"/>
            <c:size val="12"/>
            <c:spPr>
              <a:solidFill>
                <a:schemeClr val="tx1"/>
              </a:solidFill>
            </c:spPr>
          </c:marker>
          <c:xVal>
            <c:numRef>
              <c:f>data!$A$7:$A$18</c:f>
              <c:numCache>
                <c:formatCode>General</c:formatCode>
                <c:ptCount val="12"/>
                <c:pt idx="0">
                  <c:v>0.8</c:v>
                </c:pt>
                <c:pt idx="1">
                  <c:v>1</c:v>
                </c:pt>
                <c:pt idx="2">
                  <c:v>1.5</c:v>
                </c:pt>
                <c:pt idx="3">
                  <c:v>3</c:v>
                </c:pt>
                <c:pt idx="4">
                  <c:v>5</c:v>
                </c:pt>
                <c:pt idx="5">
                  <c:v>10</c:v>
                </c:pt>
                <c:pt idx="6">
                  <c:v>15</c:v>
                </c:pt>
                <c:pt idx="7">
                  <c:v>21.097999999999999</c:v>
                </c:pt>
                <c:pt idx="8">
                  <c:v>25</c:v>
                </c:pt>
                <c:pt idx="9">
                  <c:v>30</c:v>
                </c:pt>
                <c:pt idx="10">
                  <c:v>42.195</c:v>
                </c:pt>
                <c:pt idx="11">
                  <c:v>50</c:v>
                </c:pt>
              </c:numCache>
            </c:numRef>
          </c:xVal>
          <c:yVal>
            <c:numRef>
              <c:f>data!$H$7:$H$18</c:f>
              <c:numCache>
                <c:formatCode>h:mm:ss</c:formatCode>
                <c:ptCount val="12"/>
                <c:pt idx="0">
                  <c:v>2.2497106481481478E-3</c:v>
                </c:pt>
                <c:pt idx="1">
                  <c:v>2.3152777777777776E-3</c:v>
                </c:pt>
                <c:pt idx="2">
                  <c:v>2.3495370370370367E-3</c:v>
                </c:pt>
                <c:pt idx="3">
                  <c:v>2.4428240740740743E-3</c:v>
                </c:pt>
                <c:pt idx="4">
                  <c:v>2.5472453703703703E-3</c:v>
                </c:pt>
                <c:pt idx="5">
                  <c:v>2.6148148148148155E-3</c:v>
                </c:pt>
                <c:pt idx="6">
                  <c:v>2.6820987654320987E-3</c:v>
                </c:pt>
                <c:pt idx="7">
                  <c:v>2.7094678098327734E-3</c:v>
                </c:pt>
                <c:pt idx="8">
                  <c:v>2.8106481481481476E-3</c:v>
                </c:pt>
                <c:pt idx="9">
                  <c:v>2.8132716049382718E-3</c:v>
                </c:pt>
                <c:pt idx="10">
                  <c:v>2.8697230231772238E-3</c:v>
                </c:pt>
                <c:pt idx="11">
                  <c:v>3.1240740740740743E-3</c:v>
                </c:pt>
              </c:numCache>
            </c:numRef>
          </c:yVal>
        </c:ser>
        <c:ser>
          <c:idx val="1"/>
          <c:order val="1"/>
          <c:spPr>
            <a:ln w="381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data!$A$7:$A$18</c:f>
              <c:numCache>
                <c:formatCode>General</c:formatCode>
                <c:ptCount val="12"/>
                <c:pt idx="0">
                  <c:v>0.8</c:v>
                </c:pt>
                <c:pt idx="1">
                  <c:v>1</c:v>
                </c:pt>
                <c:pt idx="2">
                  <c:v>1.5</c:v>
                </c:pt>
                <c:pt idx="3">
                  <c:v>3</c:v>
                </c:pt>
                <c:pt idx="4">
                  <c:v>5</c:v>
                </c:pt>
                <c:pt idx="5">
                  <c:v>10</c:v>
                </c:pt>
                <c:pt idx="6">
                  <c:v>15</c:v>
                </c:pt>
                <c:pt idx="7">
                  <c:v>21.097999999999999</c:v>
                </c:pt>
                <c:pt idx="8">
                  <c:v>25</c:v>
                </c:pt>
                <c:pt idx="9">
                  <c:v>30</c:v>
                </c:pt>
                <c:pt idx="10">
                  <c:v>42.195</c:v>
                </c:pt>
                <c:pt idx="11">
                  <c:v>50</c:v>
                </c:pt>
              </c:numCache>
            </c:numRef>
          </c:xVal>
          <c:yVal>
            <c:numRef>
              <c:f>data!$L$7:$L$18</c:f>
              <c:numCache>
                <c:formatCode>h:mm:ss</c:formatCode>
                <c:ptCount val="12"/>
                <c:pt idx="0">
                  <c:v>2.2497106481481478E-3</c:v>
                </c:pt>
                <c:pt idx="1">
                  <c:v>2.2784190507607292E-3</c:v>
                </c:pt>
                <c:pt idx="2">
                  <c:v>2.3315248023762247E-3</c:v>
                </c:pt>
                <c:pt idx="3">
                  <c:v>2.4251921618139295E-3</c:v>
                </c:pt>
                <c:pt idx="4">
                  <c:v>2.4966218955933574E-3</c:v>
                </c:pt>
                <c:pt idx="5">
                  <c:v>2.5969219139488353E-3</c:v>
                </c:pt>
                <c:pt idx="6">
                  <c:v>2.6574513806775116E-3</c:v>
                </c:pt>
                <c:pt idx="7">
                  <c:v>2.7094678098327734E-3</c:v>
                </c:pt>
                <c:pt idx="8">
                  <c:v>2.7357218978111271E-3</c:v>
                </c:pt>
                <c:pt idx="9">
                  <c:v>2.7642126098132501E-3</c:v>
                </c:pt>
                <c:pt idx="10">
                  <c:v>2.8183149667415182E-3</c:v>
                </c:pt>
                <c:pt idx="11">
                  <c:v>2.8456275895981987E-3</c:v>
                </c:pt>
              </c:numCache>
            </c:numRef>
          </c:yVal>
        </c:ser>
        <c:ser>
          <c:idx val="2"/>
          <c:order val="2"/>
          <c:spPr>
            <a:ln w="38100">
              <a:solidFill>
                <a:srgbClr val="92D050"/>
              </a:solidFill>
              <a:prstDash val="dash"/>
            </a:ln>
          </c:spPr>
          <c:marker>
            <c:symbol val="none"/>
          </c:marker>
          <c:xVal>
            <c:numRef>
              <c:f>data!$A$7:$A$18</c:f>
              <c:numCache>
                <c:formatCode>General</c:formatCode>
                <c:ptCount val="12"/>
                <c:pt idx="0">
                  <c:v>0.8</c:v>
                </c:pt>
                <c:pt idx="1">
                  <c:v>1</c:v>
                </c:pt>
                <c:pt idx="2">
                  <c:v>1.5</c:v>
                </c:pt>
                <c:pt idx="3">
                  <c:v>3</c:v>
                </c:pt>
                <c:pt idx="4">
                  <c:v>5</c:v>
                </c:pt>
                <c:pt idx="5">
                  <c:v>10</c:v>
                </c:pt>
                <c:pt idx="6">
                  <c:v>15</c:v>
                </c:pt>
                <c:pt idx="7">
                  <c:v>21.097999999999999</c:v>
                </c:pt>
                <c:pt idx="8">
                  <c:v>25</c:v>
                </c:pt>
                <c:pt idx="9">
                  <c:v>30</c:v>
                </c:pt>
                <c:pt idx="10">
                  <c:v>42.195</c:v>
                </c:pt>
                <c:pt idx="11">
                  <c:v>50</c:v>
                </c:pt>
              </c:numCache>
            </c:numRef>
          </c:xVal>
          <c:yVal>
            <c:numRef>
              <c:f>data!$O$7:$O$18</c:f>
              <c:numCache>
                <c:formatCode>h:mm:ss</c:formatCode>
                <c:ptCount val="12"/>
                <c:pt idx="0">
                  <c:v>2.2264601051666211E-3</c:v>
                </c:pt>
                <c:pt idx="1">
                  <c:v>2.2564697636227086E-3</c:v>
                </c:pt>
                <c:pt idx="2">
                  <c:v>2.3120381395099719E-3</c:v>
                </c:pt>
                <c:pt idx="3">
                  <c:v>2.4102205981979541E-3</c:v>
                </c:pt>
                <c:pt idx="4">
                  <c:v>2.4852364731972033E-3</c:v>
                </c:pt>
                <c:pt idx="5">
                  <c:v>2.5907739309016281E-3</c:v>
                </c:pt>
                <c:pt idx="6">
                  <c:v>2.6545749629172891E-3</c:v>
                </c:pt>
                <c:pt idx="7">
                  <c:v>2.7094678098327734E-3</c:v>
                </c:pt>
                <c:pt idx="8">
                  <c:v>2.7371961403079514E-3</c:v>
                </c:pt>
                <c:pt idx="9">
                  <c:v>2.767303508427364E-3</c:v>
                </c:pt>
                <c:pt idx="10">
                  <c:v>2.8245234055106552E-3</c:v>
                </c:pt>
                <c:pt idx="11">
                  <c:v>2.8534332569775094E-3</c:v>
                </c:pt>
              </c:numCache>
            </c:numRef>
          </c:yVal>
        </c:ser>
        <c:ser>
          <c:idx val="3"/>
          <c:order val="3"/>
          <c:spPr>
            <a:ln w="38100">
              <a:solidFill>
                <a:srgbClr val="0070C0"/>
              </a:solidFill>
              <a:prstDash val="dash"/>
            </a:ln>
          </c:spPr>
          <c:marker>
            <c:symbol val="none"/>
          </c:marker>
          <c:xVal>
            <c:numRef>
              <c:f>data!$A$7:$A$18</c:f>
              <c:numCache>
                <c:formatCode>General</c:formatCode>
                <c:ptCount val="12"/>
                <c:pt idx="0">
                  <c:v>0.8</c:v>
                </c:pt>
                <c:pt idx="1">
                  <c:v>1</c:v>
                </c:pt>
                <c:pt idx="2">
                  <c:v>1.5</c:v>
                </c:pt>
                <c:pt idx="3">
                  <c:v>3</c:v>
                </c:pt>
                <c:pt idx="4">
                  <c:v>5</c:v>
                </c:pt>
                <c:pt idx="5">
                  <c:v>10</c:v>
                </c:pt>
                <c:pt idx="6">
                  <c:v>15</c:v>
                </c:pt>
                <c:pt idx="7">
                  <c:v>21.097999999999999</c:v>
                </c:pt>
                <c:pt idx="8">
                  <c:v>25</c:v>
                </c:pt>
                <c:pt idx="9">
                  <c:v>30</c:v>
                </c:pt>
                <c:pt idx="10">
                  <c:v>42.195</c:v>
                </c:pt>
                <c:pt idx="11">
                  <c:v>50</c:v>
                </c:pt>
              </c:numCache>
            </c:numRef>
          </c:xVal>
          <c:yVal>
            <c:numRef>
              <c:f>data!$R$7:$R$18</c:f>
              <c:numCache>
                <c:formatCode>h:mm:ss</c:formatCode>
                <c:ptCount val="12"/>
                <c:pt idx="0">
                  <c:v>2.0083740053647423E-3</c:v>
                </c:pt>
                <c:pt idx="1">
                  <c:v>2.0491157564000227E-3</c:v>
                </c:pt>
                <c:pt idx="2">
                  <c:v>2.1252729081297239E-3</c:v>
                </c:pt>
                <c:pt idx="3">
                  <c:v>2.2620771129892169E-3</c:v>
                </c:pt>
                <c:pt idx="4">
                  <c:v>2.3685022038739856E-3</c:v>
                </c:pt>
                <c:pt idx="5">
                  <c:v>2.5209631228785396E-3</c:v>
                </c:pt>
                <c:pt idx="6">
                  <c:v>2.6146568883256113E-3</c:v>
                </c:pt>
                <c:pt idx="7">
                  <c:v>2.6961758149633033E-3</c:v>
                </c:pt>
                <c:pt idx="8">
                  <c:v>2.7376699789822892E-3</c:v>
                </c:pt>
                <c:pt idx="9">
                  <c:v>2.7829628292800647E-3</c:v>
                </c:pt>
                <c:pt idx="10">
                  <c:v>2.8697230231772238E-3</c:v>
                </c:pt>
                <c:pt idx="11">
                  <c:v>2.9138942950264653E-3</c:v>
                </c:pt>
              </c:numCache>
            </c:numRef>
          </c:yVal>
        </c:ser>
        <c:axId val="118826496"/>
        <c:axId val="118828032"/>
      </c:scatterChart>
      <c:valAx>
        <c:axId val="118826496"/>
        <c:scaling>
          <c:orientation val="minMax"/>
          <c:max val="50"/>
          <c:min val="0"/>
        </c:scaling>
        <c:axPos val="b"/>
        <c:majorGridlines/>
        <c:min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8828032"/>
        <c:crosses val="autoZero"/>
        <c:crossBetween val="midCat"/>
        <c:majorUnit val="10"/>
      </c:valAx>
      <c:valAx>
        <c:axId val="118828032"/>
        <c:scaling>
          <c:orientation val="minMax"/>
          <c:min val="2.0833333000000089E-3"/>
        </c:scaling>
        <c:axPos val="l"/>
        <c:majorGridlines/>
        <c:minorGridlines/>
        <c:numFmt formatCode="h:mm:ss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8826496"/>
        <c:crosses val="autoZero"/>
        <c:crossBetween val="midCat"/>
        <c:majorUnit val="1.1574100000000038E-4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276226</xdr:colOff>
      <xdr:row>21</xdr:row>
      <xdr:rowOff>114300</xdr:rowOff>
    </xdr:from>
    <xdr:to>
      <xdr:col>13</xdr:col>
      <xdr:colOff>123826</xdr:colOff>
      <xdr:row>39</xdr:row>
      <xdr:rowOff>123825</xdr:rowOff>
    </xdr:to>
    <xdr:graphicFrame macro="">
      <xdr:nvGraphicFramePr>
        <xdr:cNvPr id="1155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9"/>
  <sheetViews>
    <sheetView tabSelected="1" workbookViewId="0">
      <selection activeCell="C17" sqref="C17"/>
    </sheetView>
  </sheetViews>
  <sheetFormatPr defaultRowHeight="15"/>
  <cols>
    <col min="1" max="2" width="10.7109375" style="1" customWidth="1"/>
    <col min="3" max="3" width="10" style="66" bestFit="1" customWidth="1"/>
    <col min="4" max="4" width="10.7109375" style="1" customWidth="1"/>
    <col min="5" max="5" width="4.7109375" style="1" bestFit="1" customWidth="1"/>
    <col min="6" max="6" width="9.85546875" style="1" customWidth="1"/>
    <col min="7" max="7" width="4.85546875" style="1" bestFit="1" customWidth="1"/>
    <col min="8" max="10" width="10.7109375" style="1" customWidth="1"/>
    <col min="11" max="11" width="7.140625" style="1" bestFit="1" customWidth="1"/>
    <col min="12" max="12" width="10" bestFit="1" customWidth="1"/>
    <col min="13" max="13" width="9" bestFit="1" customWidth="1"/>
    <col min="14" max="14" width="7.140625" bestFit="1" customWidth="1"/>
    <col min="15" max="15" width="10" bestFit="1" customWidth="1"/>
    <col min="16" max="16" width="9" bestFit="1" customWidth="1"/>
    <col min="17" max="17" width="7.140625" bestFit="1" customWidth="1"/>
    <col min="18" max="18" width="10" bestFit="1" customWidth="1"/>
    <col min="19" max="19" width="9" bestFit="1" customWidth="1"/>
  </cols>
  <sheetData>
    <row r="1" spans="1:19" ht="16.5" thickTop="1" thickBot="1">
      <c r="K1" s="24">
        <f>výpočty!O1</f>
        <v>5.682528787813642E-2</v>
      </c>
      <c r="L1" s="115" t="str">
        <f>IF(K1&lt;0.06,"ultra",IF(K1&lt;0.08,"maratonec",IF(K1&lt;0.1,"běžec 5-10 km","sprinter")))</f>
        <v>ultra</v>
      </c>
      <c r="M1" s="116"/>
    </row>
    <row r="2" spans="1:19" ht="15" customHeight="1" thickTop="1">
      <c r="A2" s="8"/>
      <c r="B2" s="4"/>
      <c r="C2" s="111"/>
      <c r="D2" s="119" t="s">
        <v>8</v>
      </c>
      <c r="E2" s="120"/>
      <c r="F2" s="105"/>
      <c r="G2" s="106"/>
      <c r="H2" s="97"/>
      <c r="I2" s="122" t="s">
        <v>5</v>
      </c>
      <c r="J2" s="123"/>
      <c r="K2" s="112" t="s">
        <v>7</v>
      </c>
      <c r="L2" s="113"/>
      <c r="M2" s="114"/>
      <c r="N2" s="112" t="s">
        <v>4</v>
      </c>
      <c r="O2" s="113"/>
      <c r="P2" s="114"/>
      <c r="Q2" s="112" t="s">
        <v>6</v>
      </c>
      <c r="R2" s="113"/>
      <c r="S2" s="114"/>
    </row>
    <row r="3" spans="1:19" ht="15.75" thickBot="1">
      <c r="A3" s="9" t="s">
        <v>0</v>
      </c>
      <c r="B3" s="5" t="s">
        <v>1</v>
      </c>
      <c r="C3" s="71" t="s">
        <v>9</v>
      </c>
      <c r="D3" s="117" t="s">
        <v>11</v>
      </c>
      <c r="E3" s="118"/>
      <c r="F3" s="117" t="s">
        <v>10</v>
      </c>
      <c r="G3" s="121"/>
      <c r="H3" s="98" t="s">
        <v>2</v>
      </c>
      <c r="I3" s="15" t="s">
        <v>1</v>
      </c>
      <c r="J3" s="16" t="s">
        <v>2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  <c r="Q3" s="5" t="s">
        <v>1</v>
      </c>
      <c r="R3" s="6" t="s">
        <v>2</v>
      </c>
      <c r="S3" s="7" t="s">
        <v>3</v>
      </c>
    </row>
    <row r="4" spans="1:19" ht="15.75" thickTop="1">
      <c r="A4" s="10">
        <v>0.1</v>
      </c>
      <c r="B4" s="48">
        <v>1.9560185185185183E-4</v>
      </c>
      <c r="C4" s="80"/>
      <c r="D4" s="86">
        <f>výpočty3!W12</f>
        <v>0</v>
      </c>
      <c r="E4" s="76" t="str">
        <f t="shared" ref="E4:E20" si="0">IF(D4=MAX($D$4:$D$20),"max","")</f>
        <v/>
      </c>
      <c r="F4" s="107">
        <f>výpočty3!W$15</f>
        <v>1.7640918580375777</v>
      </c>
      <c r="G4" s="87" t="str">
        <f>IF(F4=MIN($F$4:$F$20),"best","")</f>
        <v/>
      </c>
      <c r="H4" s="99">
        <f t="shared" ref="H4:H9" si="1">IF(B4&gt;0,B4/A4,0)</f>
        <v>1.9560185185185184E-3</v>
      </c>
      <c r="I4" s="56"/>
      <c r="J4" s="57"/>
      <c r="K4" s="17">
        <f>L4*$A4</f>
        <v>1.9989793851659494E-4</v>
      </c>
      <c r="L4" s="2">
        <f>výpočty!$O$17*$A4^výpočty!$O$1</f>
        <v>1.9989793851659492E-3</v>
      </c>
      <c r="M4" s="19">
        <f>IF(H4&gt;0,H4/L4-0.999999,"")</f>
        <v>-2.1490400544815658E-2</v>
      </c>
      <c r="N4" s="17">
        <f>O4*$A4</f>
        <v>1.965303005952183E-4</v>
      </c>
      <c r="O4" s="2">
        <f>výpočty!$A$17*$A4^výpočty!$A$1</f>
        <v>1.965303005952183E-3</v>
      </c>
      <c r="P4" s="19">
        <f>IF(H4&gt;0,H4/O4-1,"")</f>
        <v>-4.7242015127160197E-3</v>
      </c>
      <c r="Q4" s="17">
        <f>R4*$A4</f>
        <v>1.6655838179546192E-4</v>
      </c>
      <c r="R4" s="2">
        <f>výpočty!$B$17*$A4^výpočty!$B$1</f>
        <v>1.6655838179546192E-3</v>
      </c>
      <c r="S4" s="19">
        <f>IF(H4&gt;0,H4/R4-1,"")</f>
        <v>0.17437411280842086</v>
      </c>
    </row>
    <row r="5" spans="1:19">
      <c r="A5" s="21">
        <v>0.2</v>
      </c>
      <c r="B5" s="49">
        <v>4.259259259259259E-4</v>
      </c>
      <c r="C5" s="81"/>
      <c r="D5" s="88">
        <f>výpočty3!X12</f>
        <v>0</v>
      </c>
      <c r="E5" s="77" t="str">
        <f t="shared" si="0"/>
        <v/>
      </c>
      <c r="F5" s="108">
        <f>výpočty3!X$15</f>
        <v>1.9176654507556015</v>
      </c>
      <c r="G5" s="89" t="str">
        <f t="shared" ref="G5:G20" si="2">IF(F5=MIN($F$4:$F$20),"best","")</f>
        <v/>
      </c>
      <c r="H5" s="100">
        <f t="shared" si="1"/>
        <v>2.1296296296296293E-3</v>
      </c>
      <c r="I5" s="64"/>
      <c r="J5" s="65"/>
      <c r="K5" s="18">
        <f>L5*$A5</f>
        <v>4.1585739354702429E-4</v>
      </c>
      <c r="L5" s="23">
        <f>výpočty!$O$17*$A5^výpočty!$O$1</f>
        <v>2.0792869677351213E-3</v>
      </c>
      <c r="M5" s="20">
        <f>IF(H5&gt;0,H5/L5-0.999999,"")</f>
        <v>2.4212502633205291E-2</v>
      </c>
      <c r="N5" s="18">
        <f>O5*$A5</f>
        <v>4.0975221867665707E-4</v>
      </c>
      <c r="O5" s="23">
        <f>výpočty!$A$17*$A5^výpočty!$A$1</f>
        <v>2.0487610933832851E-3</v>
      </c>
      <c r="P5" s="20">
        <f>IF(H5&gt;0,H5/O5-1,"")</f>
        <v>3.9471921107599339E-2</v>
      </c>
      <c r="Q5" s="18">
        <f>R5*$A5</f>
        <v>3.5455955044154435E-4</v>
      </c>
      <c r="R5" s="3">
        <f>výpočty!$B$17*$A5^výpočty!$B$1</f>
        <v>1.7727977522077217E-3</v>
      </c>
      <c r="S5" s="20">
        <f>IF(H5&gt;0,H5/R5-1,"")</f>
        <v>0.20128177451575269</v>
      </c>
    </row>
    <row r="6" spans="1:19" ht="15.75" thickBot="1">
      <c r="A6" s="11">
        <v>0.4</v>
      </c>
      <c r="B6" s="50">
        <v>8.6747685185185181E-4</v>
      </c>
      <c r="C6" s="82"/>
      <c r="D6" s="90">
        <f>výpočty3!Y12</f>
        <v>33</v>
      </c>
      <c r="E6" s="78" t="str">
        <f t="shared" si="0"/>
        <v/>
      </c>
      <c r="F6" s="109">
        <f>výpočty3!Y$15</f>
        <v>1.7418080409016963</v>
      </c>
      <c r="G6" s="91" t="str">
        <f t="shared" si="2"/>
        <v/>
      </c>
      <c r="H6" s="101">
        <f t="shared" si="1"/>
        <v>2.1686921296296294E-3</v>
      </c>
      <c r="I6" s="15"/>
      <c r="J6" s="16"/>
      <c r="K6" s="18">
        <f>L6*$A6</f>
        <v>8.6512834024733026E-4</v>
      </c>
      <c r="L6" s="23">
        <f>výpočty!$O$17*$A6^výpočty!$O$1</f>
        <v>2.1628208506183255E-3</v>
      </c>
      <c r="M6" s="20">
        <f>IF(H6&gt;0,H6/L6-0.999999,"")</f>
        <v>2.7156395456772175E-3</v>
      </c>
      <c r="N6" s="18">
        <f>O6*$A6</f>
        <v>8.5430531679819778E-4</v>
      </c>
      <c r="O6" s="23">
        <f>výpočty!$A$17*$A6^výpočty!$A$1</f>
        <v>2.1357632919954943E-3</v>
      </c>
      <c r="P6" s="20">
        <f>IF(H6&gt;0,H6/O6-1,"")</f>
        <v>1.5417831066554477E-2</v>
      </c>
      <c r="Q6" s="18">
        <f>R6*$A6</f>
        <v>7.547652267880957E-4</v>
      </c>
      <c r="R6" s="3">
        <f>výpočty!$B$17*$A6^výpočty!$B$1</f>
        <v>1.8869130669702391E-3</v>
      </c>
      <c r="S6" s="20">
        <f>IF(H6&gt;0,H6/R6-1,"")</f>
        <v>0.14933335700082595</v>
      </c>
    </row>
    <row r="7" spans="1:19" ht="15.75" thickTop="1">
      <c r="A7" s="10">
        <v>0.8</v>
      </c>
      <c r="B7" s="48">
        <v>1.7997685185185185E-3</v>
      </c>
      <c r="C7" s="80" t="str">
        <f>výpočty4!E7</f>
        <v>nejlepší</v>
      </c>
      <c r="D7" s="86">
        <f>výpočty3!Z12</f>
        <v>152</v>
      </c>
      <c r="E7" s="70" t="str">
        <f t="shared" si="0"/>
        <v/>
      </c>
      <c r="F7" s="107">
        <f>výpočty3!Z$15</f>
        <v>1.5409771083143395</v>
      </c>
      <c r="G7" s="87" t="str">
        <f t="shared" si="2"/>
        <v/>
      </c>
      <c r="H7" s="99">
        <f t="shared" si="1"/>
        <v>2.2497106481481478E-3</v>
      </c>
      <c r="I7" s="17"/>
      <c r="J7" s="12"/>
      <c r="K7" s="17">
        <f>L7*$A7</f>
        <v>1.7997685185185183E-3</v>
      </c>
      <c r="L7" s="2">
        <f>výpočty!$O$17*$A7^výpočty!$O$1</f>
        <v>2.2497106481481478E-3</v>
      </c>
      <c r="M7" s="19">
        <f t="shared" ref="M7:M20" si="3">IF(H7&gt;0,H7/L7-0.999999,"")</f>
        <v>1.0000000000287557E-6</v>
      </c>
      <c r="N7" s="17">
        <f>O7*$A7</f>
        <v>1.781168084133297E-3</v>
      </c>
      <c r="O7" s="2">
        <f>výpočty!$A$17*$A7^výpočty!$A$1</f>
        <v>2.2264601051666211E-3</v>
      </c>
      <c r="P7" s="19">
        <f t="shared" ref="P7:P20" si="4">IF(H7&gt;0,H7/O7-1,"")</f>
        <v>1.0442829371868134E-2</v>
      </c>
      <c r="Q7" s="17">
        <f>R7*$A7</f>
        <v>1.606699204291794E-3</v>
      </c>
      <c r="R7" s="2">
        <f>výpočty!$B$17*$A7^výpočty!$B$1</f>
        <v>2.0083740053647423E-3</v>
      </c>
      <c r="S7" s="19">
        <f>IF(H7&gt;0,H7/R7-1,"")</f>
        <v>0.1201651894212683</v>
      </c>
    </row>
    <row r="8" spans="1:19">
      <c r="A8" s="21">
        <v>1</v>
      </c>
      <c r="B8" s="49">
        <v>2.3152777777777776E-3</v>
      </c>
      <c r="C8" s="81" t="str">
        <f>výpočty4!E8</f>
        <v/>
      </c>
      <c r="D8" s="92">
        <f>výpočty3!AA12</f>
        <v>171</v>
      </c>
      <c r="E8" s="79" t="str">
        <f t="shared" si="0"/>
        <v/>
      </c>
      <c r="F8" s="108">
        <f>výpočty3!AA$15</f>
        <v>1.5159139133070627</v>
      </c>
      <c r="G8" s="89" t="str">
        <f t="shared" si="2"/>
        <v/>
      </c>
      <c r="H8" s="100">
        <f t="shared" si="1"/>
        <v>2.3152777777777776E-3</v>
      </c>
      <c r="I8" s="18">
        <f t="shared" ref="I8:I17" si="5">IF(J8="ne","ne",J8*A8)</f>
        <v>2.2784213291797803E-3</v>
      </c>
      <c r="J8" s="14">
        <f>IF(MIN($M$7:$M8)*MIN($M9:$M$18)&gt;0,IF(MAX(MIN($M$7:$M8),MIN($M9:$M$18))&lt;$M8,L8*(1+MAX(MIN($M$7:$M8),MIN($M9:$M$18))),"ne"),"ne")</f>
        <v>2.2784213291797803E-3</v>
      </c>
      <c r="K8" s="18">
        <f>L8*$A8</f>
        <v>2.2784190507607292E-3</v>
      </c>
      <c r="L8" s="23">
        <f>výpočty!$O$17*$A8^výpočty!$O$1</f>
        <v>2.2784190507607292E-3</v>
      </c>
      <c r="M8" s="20">
        <f t="shared" si="3"/>
        <v>1.6178325678848249E-2</v>
      </c>
      <c r="N8" s="18">
        <f>O8*$A8</f>
        <v>2.2564697636227086E-3</v>
      </c>
      <c r="O8" s="23">
        <f>výpočty!$A$17*$A8^výpočty!$A$1</f>
        <v>2.2564697636227086E-3</v>
      </c>
      <c r="P8" s="20">
        <f t="shared" si="4"/>
        <v>2.6061955317608243E-2</v>
      </c>
      <c r="Q8" s="18">
        <f>R8*$A8</f>
        <v>2.0491157564000227E-3</v>
      </c>
      <c r="R8" s="3">
        <f>výpočty!$B$17*$A8^výpočty!$B$1</f>
        <v>2.0491157564000227E-3</v>
      </c>
      <c r="S8" s="20">
        <f>IF(H8&gt;0,H8/R8-1,"")</f>
        <v>0.12989115941666474</v>
      </c>
    </row>
    <row r="9" spans="1:19">
      <c r="A9" s="11">
        <v>1.5</v>
      </c>
      <c r="B9" s="50">
        <v>3.5243055555555553E-3</v>
      </c>
      <c r="C9" s="81" t="str">
        <f>výpočty4!E9</f>
        <v/>
      </c>
      <c r="D9" s="92">
        <f>výpočty3!AB12</f>
        <v>263</v>
      </c>
      <c r="E9" s="79" t="str">
        <f t="shared" si="0"/>
        <v/>
      </c>
      <c r="F9" s="108">
        <f>výpočty3!AB$15</f>
        <v>1.4781553398058251</v>
      </c>
      <c r="G9" s="89" t="str">
        <f t="shared" si="2"/>
        <v/>
      </c>
      <c r="H9" s="100">
        <f t="shared" si="1"/>
        <v>2.3495370370370367E-3</v>
      </c>
      <c r="I9" s="18">
        <f t="shared" si="5"/>
        <v>3.497290700851541E-3</v>
      </c>
      <c r="J9" s="14">
        <f>IF(MIN($M$7:$M9)*MIN($M10:$M$18)&gt;0,IF(MAX(MIN($M$7:$M9),MIN($M10:$M$18))&lt;$M9,L9*(1+MAX(MIN($M$7:$M9),MIN($M10:$M$18))),"ne"),"ne")</f>
        <v>2.3315271339010273E-3</v>
      </c>
      <c r="K9" s="18">
        <f t="shared" ref="K9:K18" si="6">L9*$A9</f>
        <v>3.4972872035643372E-3</v>
      </c>
      <c r="L9" s="23">
        <f>výpočty!$O$17*$A9^výpočty!$O$1</f>
        <v>2.3315248023762247E-3</v>
      </c>
      <c r="M9" s="20">
        <f t="shared" si="3"/>
        <v>7.7265170703971764E-3</v>
      </c>
      <c r="N9" s="18">
        <f t="shared" ref="N9:N18" si="7">O9*$A9</f>
        <v>3.4680572092649579E-3</v>
      </c>
      <c r="O9" s="23">
        <f>výpočty!$A$17*$A9^výpočty!$A$1</f>
        <v>2.3120381395099719E-3</v>
      </c>
      <c r="P9" s="20">
        <f t="shared" si="4"/>
        <v>1.6218978781644466E-2</v>
      </c>
      <c r="Q9" s="18">
        <f t="shared" ref="Q9:Q18" si="8">R9*$A9</f>
        <v>3.187909362194586E-3</v>
      </c>
      <c r="R9" s="3">
        <f>výpočty!$B$17*$A9^výpočty!$B$1</f>
        <v>2.1252729081297239E-3</v>
      </c>
      <c r="S9" s="20">
        <f t="shared" ref="S9:S20" si="9">IF(H9&gt;0,H9/R9-1,"")</f>
        <v>0.10552250868556401</v>
      </c>
    </row>
    <row r="10" spans="1:19">
      <c r="A10" s="11">
        <v>3</v>
      </c>
      <c r="B10" s="51">
        <v>7.3284722222222223E-3</v>
      </c>
      <c r="C10" s="81" t="str">
        <f>výpočty4!E10</f>
        <v/>
      </c>
      <c r="D10" s="92">
        <f>výpočty3!AC12</f>
        <v>349</v>
      </c>
      <c r="E10" s="79" t="str">
        <f t="shared" si="0"/>
        <v/>
      </c>
      <c r="F10" s="108">
        <f>výpočty3!AC$15</f>
        <v>1.4368575124242631</v>
      </c>
      <c r="G10" s="89" t="str">
        <f t="shared" si="2"/>
        <v/>
      </c>
      <c r="H10" s="100">
        <f t="shared" ref="H10:H17" si="10">IF(B10&gt;0,B10/A10,0)</f>
        <v>2.4428240740740743E-3</v>
      </c>
      <c r="I10" s="18">
        <f t="shared" si="5"/>
        <v>7.2755837610182748E-3</v>
      </c>
      <c r="J10" s="14">
        <f>IF(MIN($M$7:$M10)*MIN($M11:$M$18)&gt;0,IF(MAX(MIN($M$7:$M10),MIN($M11:$M$18))&lt;$M10,L10*(1+MAX(MIN($M$7:$M10),MIN($M11:$M$18))),"ne"),"ne")</f>
        <v>2.4251945870060916E-3</v>
      </c>
      <c r="K10" s="18">
        <f t="shared" si="6"/>
        <v>7.2755764854417881E-3</v>
      </c>
      <c r="L10" s="23">
        <f>výpočty!$O$17*$A10^výpočty!$O$1</f>
        <v>2.4251921618139295E-3</v>
      </c>
      <c r="M10" s="20">
        <f t="shared" si="3"/>
        <v>7.271315539432055E-3</v>
      </c>
      <c r="N10" s="18">
        <f t="shared" si="7"/>
        <v>7.2306617945938623E-3</v>
      </c>
      <c r="O10" s="23">
        <f>výpočty!$A$17*$A10^výpočty!$A$1</f>
        <v>2.4102205981979541E-3</v>
      </c>
      <c r="P10" s="20">
        <f t="shared" si="4"/>
        <v>1.3527175023106519E-2</v>
      </c>
      <c r="Q10" s="18">
        <f t="shared" si="8"/>
        <v>6.786231338967651E-3</v>
      </c>
      <c r="R10" s="3">
        <f>výpočty!$B$17*$A10^výpočty!$B$1</f>
        <v>2.2620771129892169E-3</v>
      </c>
      <c r="S10" s="20">
        <f t="shared" si="9"/>
        <v>7.99030943936343E-2</v>
      </c>
    </row>
    <row r="11" spans="1:19">
      <c r="A11" s="11">
        <v>5</v>
      </c>
      <c r="B11" s="50">
        <v>1.2736226851851851E-2</v>
      </c>
      <c r="C11" s="81" t="str">
        <f>výpočty4!E11</f>
        <v/>
      </c>
      <c r="D11" s="92">
        <f>výpočty3!AD12</f>
        <v>320</v>
      </c>
      <c r="E11" s="79" t="str">
        <f t="shared" si="0"/>
        <v/>
      </c>
      <c r="F11" s="108">
        <f>výpočty3!AD$15</f>
        <v>1.4529741863075194</v>
      </c>
      <c r="G11" s="89" t="str">
        <f t="shared" si="2"/>
        <v/>
      </c>
      <c r="H11" s="100">
        <f t="shared" si="10"/>
        <v>2.5472453703703703E-3</v>
      </c>
      <c r="I11" s="18">
        <f t="shared" si="5"/>
        <v>1.2483121961076265E-2</v>
      </c>
      <c r="J11" s="14">
        <f>IF(MIN($M$7:$M11)*MIN($M12:$M$18)&gt;0,IF(MAX(MIN($M$7:$M11),MIN($M12:$M$18))&lt;$M11,L11*(1+MAX(MIN($M$7:$M11),MIN($M12:$M$18))),"ne"),"ne")</f>
        <v>2.4966243922152531E-3</v>
      </c>
      <c r="K11" s="18">
        <f t="shared" si="6"/>
        <v>1.2483109477966787E-2</v>
      </c>
      <c r="L11" s="23">
        <f>výpočty!$O$17*$A11^výpočty!$O$1</f>
        <v>2.4966218955933574E-3</v>
      </c>
      <c r="M11" s="20">
        <f t="shared" si="3"/>
        <v>2.027778875458297E-2</v>
      </c>
      <c r="N11" s="18">
        <f t="shared" si="7"/>
        <v>1.2426182365986017E-2</v>
      </c>
      <c r="O11" s="23">
        <f>výpočty!$A$17*$A11^výpočty!$A$1</f>
        <v>2.4852364731972033E-3</v>
      </c>
      <c r="P11" s="20">
        <f t="shared" si="4"/>
        <v>2.4950904206469282E-2</v>
      </c>
      <c r="Q11" s="18">
        <f t="shared" si="8"/>
        <v>1.1842511019369928E-2</v>
      </c>
      <c r="R11" s="3">
        <f>výpočty!$B$17*$A11^výpočty!$B$1</f>
        <v>2.3685022038739856E-3</v>
      </c>
      <c r="S11" s="20">
        <f t="shared" si="9"/>
        <v>7.5466751183101088E-2</v>
      </c>
    </row>
    <row r="12" spans="1:19">
      <c r="A12" s="11">
        <v>10</v>
      </c>
      <c r="B12" s="50">
        <v>2.6148148148148153E-2</v>
      </c>
      <c r="C12" s="81" t="str">
        <f>výpočty4!E12</f>
        <v/>
      </c>
      <c r="D12" s="92">
        <f>výpočty3!AE12</f>
        <v>416</v>
      </c>
      <c r="E12" s="79" t="str">
        <f t="shared" si="0"/>
        <v/>
      </c>
      <c r="F12" s="108">
        <f>výpočty3!AE$15</f>
        <v>1.4321122260749404</v>
      </c>
      <c r="G12" s="89" t="str">
        <f t="shared" si="2"/>
        <v/>
      </c>
      <c r="H12" s="100">
        <f t="shared" si="10"/>
        <v>2.6148148148148155E-3</v>
      </c>
      <c r="I12" s="18">
        <f t="shared" si="5"/>
        <v>2.5969245108707496E-2</v>
      </c>
      <c r="J12" s="14">
        <f>IF(MIN($M$7:$M12)*MIN($M13:$M$18)&gt;0,IF(MAX(MIN($M$7:$M12),MIN($M13:$M$18))&lt;$M12,L12*(1+MAX(MIN($M$7:$M12),MIN($M13:$M$18))),"ne"),"ne")</f>
        <v>2.5969245108707498E-3</v>
      </c>
      <c r="K12" s="18">
        <f t="shared" si="6"/>
        <v>2.5969219139488353E-2</v>
      </c>
      <c r="L12" s="23">
        <f>výpočty!$O$17*$A12^výpočty!$O$1</f>
        <v>2.5969219139488353E-3</v>
      </c>
      <c r="M12" s="20">
        <f t="shared" si="3"/>
        <v>6.8910419261248856E-3</v>
      </c>
      <c r="N12" s="18">
        <f t="shared" si="7"/>
        <v>2.590773930901628E-2</v>
      </c>
      <c r="O12" s="23">
        <f>výpočty!$A$17*$A12^výpočty!$A$1</f>
        <v>2.5907739309016281E-3</v>
      </c>
      <c r="P12" s="20">
        <f t="shared" si="4"/>
        <v>9.2794217304867921E-3</v>
      </c>
      <c r="Q12" s="18">
        <f t="shared" si="8"/>
        <v>2.5209631228785397E-2</v>
      </c>
      <c r="R12" s="3">
        <f>výpočty!$B$17*$A12^výpočty!$B$1</f>
        <v>2.5209631228785396E-3</v>
      </c>
      <c r="S12" s="20">
        <f t="shared" si="9"/>
        <v>3.7228506472205769E-2</v>
      </c>
    </row>
    <row r="13" spans="1:19">
      <c r="A13" s="11">
        <v>15</v>
      </c>
      <c r="B13" s="13">
        <v>4.0231481481481479E-2</v>
      </c>
      <c r="C13" s="81" t="str">
        <f>výpočty4!E13</f>
        <v/>
      </c>
      <c r="D13" s="92">
        <f>výpočty3!AF12</f>
        <v>419</v>
      </c>
      <c r="E13" s="79" t="str">
        <f t="shared" si="0"/>
        <v/>
      </c>
      <c r="F13" s="108" t="str">
        <f>výpočty3!AF$15</f>
        <v/>
      </c>
      <c r="G13" s="89" t="str">
        <f t="shared" si="2"/>
        <v/>
      </c>
      <c r="H13" s="100">
        <f t="shared" si="10"/>
        <v>2.6820987654320987E-3</v>
      </c>
      <c r="I13" s="18">
        <f t="shared" si="5"/>
        <v>3.9861810571933387E-2</v>
      </c>
      <c r="J13" s="14">
        <f>IF(MIN($M$7:$M13)*MIN($M14:$M$18)&gt;0,IF(MAX(MIN($M$7:$M13),MIN($M14:$M$18))&lt;$M13,L13*(1+MAX(MIN($M$7:$M13),MIN($M14:$M$18))),"ne"),"ne")</f>
        <v>2.6574540381288925E-3</v>
      </c>
      <c r="K13" s="18">
        <f t="shared" si="6"/>
        <v>3.9861770710162676E-2</v>
      </c>
      <c r="L13" s="23">
        <f>výpočty!$O$17*$A13^výpočty!$O$1</f>
        <v>2.6574513806775116E-3</v>
      </c>
      <c r="M13" s="20">
        <f t="shared" si="3"/>
        <v>9.2758205795221427E-3</v>
      </c>
      <c r="N13" s="18">
        <f t="shared" si="7"/>
        <v>3.9818624443759339E-2</v>
      </c>
      <c r="O13" s="23">
        <f>výpočty!$A$17*$A13^výpočty!$A$1</f>
        <v>2.6545749629172891E-3</v>
      </c>
      <c r="P13" s="20">
        <f t="shared" si="4"/>
        <v>1.0368440484559427E-2</v>
      </c>
      <c r="Q13" s="18">
        <f t="shared" si="8"/>
        <v>3.9219853324884167E-2</v>
      </c>
      <c r="R13" s="3">
        <f>výpočty!$B$17*$A13^výpočty!$B$1</f>
        <v>2.6146568883256113E-3</v>
      </c>
      <c r="S13" s="20">
        <f t="shared" si="9"/>
        <v>2.5793777152028685E-2</v>
      </c>
    </row>
    <row r="14" spans="1:19">
      <c r="A14" s="11">
        <v>21.097999999999999</v>
      </c>
      <c r="B14" s="13">
        <v>5.7164351851851848E-2</v>
      </c>
      <c r="C14" s="81" t="str">
        <f>výpočty4!E14</f>
        <v>nejlepší</v>
      </c>
      <c r="D14" s="92">
        <f>výpočty3!AG12</f>
        <v>441</v>
      </c>
      <c r="E14" s="79" t="str">
        <f t="shared" si="0"/>
        <v/>
      </c>
      <c r="F14" s="108">
        <f>výpočty3!AG$15</f>
        <v>1.4188451594369436</v>
      </c>
      <c r="G14" s="89" t="str">
        <f t="shared" si="2"/>
        <v>best</v>
      </c>
      <c r="H14" s="100">
        <f t="shared" si="10"/>
        <v>2.7094678098327734E-3</v>
      </c>
      <c r="I14" s="18" t="str">
        <f t="shared" si="5"/>
        <v>ne</v>
      </c>
      <c r="J14" s="14" t="str">
        <f>IF(MIN($M$7:$M14)*MIN($M15:$M$18)&gt;0,IF(MAX(MIN($M$7:$M14),MIN($M15:$M$18))&lt;$M14,L14*(1+MAX(MIN($M$7:$M14),MIN($M15:$M$18))),"ne"),"ne")</f>
        <v>ne</v>
      </c>
      <c r="K14" s="18">
        <f t="shared" si="6"/>
        <v>5.7164351851851848E-2</v>
      </c>
      <c r="L14" s="23">
        <f>výpočty!$O$17*$A14^výpočty!$O$1</f>
        <v>2.7094678098327734E-3</v>
      </c>
      <c r="M14" s="20">
        <f t="shared" si="3"/>
        <v>1.0000000000287557E-6</v>
      </c>
      <c r="N14" s="18">
        <f t="shared" si="7"/>
        <v>5.7164351851851848E-2</v>
      </c>
      <c r="O14" s="23">
        <f>výpočty!$A$17*$A14^výpočty!$A$1</f>
        <v>2.7094678098327734E-3</v>
      </c>
      <c r="P14" s="20">
        <f t="shared" si="4"/>
        <v>0</v>
      </c>
      <c r="Q14" s="18">
        <f t="shared" si="8"/>
        <v>5.6883917344095772E-2</v>
      </c>
      <c r="R14" s="3">
        <f>výpočty!$B$17*$A14^výpočty!$B$1</f>
        <v>2.6961758149633033E-3</v>
      </c>
      <c r="S14" s="20">
        <f t="shared" si="9"/>
        <v>4.9299436615750647E-3</v>
      </c>
    </row>
    <row r="15" spans="1:19">
      <c r="A15" s="11">
        <v>25</v>
      </c>
      <c r="B15" s="13">
        <v>7.0266203703703692E-2</v>
      </c>
      <c r="C15" s="81" t="str">
        <f>výpočty4!E15</f>
        <v/>
      </c>
      <c r="D15" s="92">
        <f>výpočty3!AH12</f>
        <v>411</v>
      </c>
      <c r="E15" s="79" t="str">
        <f t="shared" si="0"/>
        <v/>
      </c>
      <c r="F15" s="108" t="str">
        <f>výpočty3!AH$15</f>
        <v/>
      </c>
      <c r="G15" s="89" t="str">
        <f t="shared" si="2"/>
        <v/>
      </c>
      <c r="H15" s="100">
        <f t="shared" si="10"/>
        <v>2.8106481481481476E-3</v>
      </c>
      <c r="I15" s="18">
        <f t="shared" si="5"/>
        <v>6.9606949452025099E-2</v>
      </c>
      <c r="J15" s="14">
        <f>IF(MIN($M$7:$M15)*MIN($M16:$M$18)&gt;0,IF(MAX(MIN($M$7:$M15),MIN($M16:$M$18))&lt;$M15,L15*(1+MAX(MIN($M$7:$M15),MIN($M16:$M$18))),"ne"),"ne")</f>
        <v>2.7842779780810041E-3</v>
      </c>
      <c r="K15" s="18">
        <f t="shared" si="6"/>
        <v>6.8393047445278174E-2</v>
      </c>
      <c r="L15" s="23">
        <f>výpočty!$O$17*$A15^výpočty!$O$1</f>
        <v>2.7357218978111271E-3</v>
      </c>
      <c r="M15" s="20">
        <f t="shared" si="3"/>
        <v>2.7389109294650882E-2</v>
      </c>
      <c r="N15" s="18">
        <f t="shared" si="7"/>
        <v>6.8429903507698786E-2</v>
      </c>
      <c r="O15" s="23">
        <f>výpočty!$A$17*$A15^výpočty!$A$1</f>
        <v>2.7371961403079514E-3</v>
      </c>
      <c r="P15" s="20">
        <f t="shared" si="4"/>
        <v>2.6834762317008209E-2</v>
      </c>
      <c r="Q15" s="18">
        <f t="shared" si="8"/>
        <v>6.8441749474557223E-2</v>
      </c>
      <c r="R15" s="3">
        <f>výpočty!$B$17*$A15^výpočty!$B$1</f>
        <v>2.7376699789822892E-3</v>
      </c>
      <c r="S15" s="20">
        <f t="shared" si="9"/>
        <v>2.6657036723245708E-2</v>
      </c>
    </row>
    <row r="16" spans="1:19">
      <c r="A16" s="11">
        <v>30</v>
      </c>
      <c r="B16" s="13">
        <v>8.4398148148148153E-2</v>
      </c>
      <c r="C16" s="81" t="str">
        <f>výpočty4!E16</f>
        <v/>
      </c>
      <c r="D16" s="92">
        <f>výpočty3!AI12</f>
        <v>457</v>
      </c>
      <c r="E16" s="79" t="str">
        <f t="shared" si="0"/>
        <v/>
      </c>
      <c r="F16" s="108" t="str">
        <f>výpočty3!AI$15</f>
        <v/>
      </c>
      <c r="G16" s="89" t="str">
        <f t="shared" si="2"/>
        <v/>
      </c>
      <c r="H16" s="100">
        <f t="shared" si="10"/>
        <v>2.8132716049382718E-3</v>
      </c>
      <c r="I16" s="18" t="str">
        <f t="shared" si="5"/>
        <v>ne</v>
      </c>
      <c r="J16" s="14" t="str">
        <f>IF(MIN($M$7:$M16)*MIN($M17:$M$18)&gt;0,IF(MAX(MIN($M$7:$M16),MIN($M17:$M$18))&lt;$M16,L16*(1+MAX(MIN($M$7:$M16),MIN($M17:$M$18))),"ne"),"ne")</f>
        <v>ne</v>
      </c>
      <c r="K16" s="18">
        <f t="shared" si="6"/>
        <v>8.2926378294397501E-2</v>
      </c>
      <c r="L16" s="23">
        <f>výpočty!$O$17*$A16^výpočty!$O$1</f>
        <v>2.7642126098132501E-3</v>
      </c>
      <c r="M16" s="20">
        <f t="shared" si="3"/>
        <v>1.7748909459227913E-2</v>
      </c>
      <c r="N16" s="18">
        <f t="shared" si="7"/>
        <v>8.3019105252820927E-2</v>
      </c>
      <c r="O16" s="23">
        <f>výpočty!$A$17*$A16^výpočty!$A$1</f>
        <v>2.767303508427364E-3</v>
      </c>
      <c r="P16" s="20">
        <f t="shared" si="4"/>
        <v>1.6611151025147652E-2</v>
      </c>
      <c r="Q16" s="18">
        <f t="shared" si="8"/>
        <v>8.3488884878401948E-2</v>
      </c>
      <c r="R16" s="3">
        <f>výpočty!$B$17*$A16^výpočty!$B$1</f>
        <v>2.7829628292800647E-3</v>
      </c>
      <c r="S16" s="20">
        <f t="shared" si="9"/>
        <v>1.0890830211357061E-2</v>
      </c>
    </row>
    <row r="17" spans="1:19">
      <c r="A17" s="11">
        <v>42.195</v>
      </c>
      <c r="B17" s="13">
        <v>0.12108796296296297</v>
      </c>
      <c r="C17" s="81" t="str">
        <f>výpočty4!E17</f>
        <v/>
      </c>
      <c r="D17" s="92">
        <f>výpočty3!AJ12</f>
        <v>504</v>
      </c>
      <c r="E17" s="79" t="str">
        <f t="shared" si="0"/>
        <v>max</v>
      </c>
      <c r="F17" s="108">
        <f>výpočty3!AJ$15</f>
        <v>1.4333470338402523</v>
      </c>
      <c r="G17" s="89" t="str">
        <f t="shared" si="2"/>
        <v/>
      </c>
      <c r="H17" s="100">
        <f t="shared" si="10"/>
        <v>2.8697230231772238E-3</v>
      </c>
      <c r="I17" s="18" t="str">
        <f t="shared" si="5"/>
        <v>ne</v>
      </c>
      <c r="J17" s="14" t="str">
        <f>IF(MIN($M$7:$M17)*MIN($M18:$M$18)&gt;0,IF(MAX(MIN($M$7:$M17),MIN($M18:$M$18))&lt;$M17,L17*(1+MAX(MIN($M$7:$M17),MIN($M18:$M$18))),"ne"),"ne")</f>
        <v>ne</v>
      </c>
      <c r="K17" s="18">
        <f t="shared" si="6"/>
        <v>0.11891880002165836</v>
      </c>
      <c r="L17" s="23">
        <f>výpočty!$O$17*$A17^výpočty!$O$1</f>
        <v>2.8183149667415182E-3</v>
      </c>
      <c r="M17" s="20">
        <f t="shared" si="3"/>
        <v>1.8241706607445951E-2</v>
      </c>
      <c r="N17" s="18">
        <f t="shared" si="7"/>
        <v>0.1191807650955221</v>
      </c>
      <c r="O17" s="23">
        <f>výpočty!$A$17*$A17^výpočty!$A$1</f>
        <v>2.8245234055106552E-3</v>
      </c>
      <c r="P17" s="20">
        <f t="shared" si="4"/>
        <v>1.600256438958314E-2</v>
      </c>
      <c r="Q17" s="18">
        <f t="shared" si="8"/>
        <v>0.12108796296296297</v>
      </c>
      <c r="R17" s="3">
        <f>výpočty!$B$17*$A17^výpočty!$B$1</f>
        <v>2.8697230231772238E-3</v>
      </c>
      <c r="S17" s="20">
        <f t="shared" si="9"/>
        <v>0</v>
      </c>
    </row>
    <row r="18" spans="1:19" ht="15.75" thickBot="1">
      <c r="A18" s="25">
        <v>50</v>
      </c>
      <c r="B18" s="26">
        <v>0.15620370370370371</v>
      </c>
      <c r="C18" s="83" t="str">
        <f>výpočty4!E18</f>
        <v/>
      </c>
      <c r="D18" s="93">
        <f>výpočty3!AK12</f>
        <v>0</v>
      </c>
      <c r="E18" s="78" t="str">
        <f t="shared" si="0"/>
        <v/>
      </c>
      <c r="F18" s="109" t="str">
        <f>výpočty3!AK$15</f>
        <v/>
      </c>
      <c r="G18" s="91" t="str">
        <f t="shared" si="2"/>
        <v/>
      </c>
      <c r="H18" s="102">
        <f>IF(B18&gt;0,B18/A18,0)</f>
        <v>3.1240740740740743E-3</v>
      </c>
      <c r="I18" s="28"/>
      <c r="J18" s="27"/>
      <c r="K18" s="28">
        <f t="shared" si="6"/>
        <v>0.14228137947990993</v>
      </c>
      <c r="L18" s="29">
        <f>výpočty!$O$17*$A18^výpočty!$O$1</f>
        <v>2.8456275895981987E-3</v>
      </c>
      <c r="M18" s="30">
        <f t="shared" si="3"/>
        <v>9.785164127635626E-2</v>
      </c>
      <c r="N18" s="28">
        <f t="shared" si="7"/>
        <v>0.14267166284887547</v>
      </c>
      <c r="O18" s="29">
        <f>výpočty!$A$17*$A18^výpočty!$A$1</f>
        <v>2.8534332569775094E-3</v>
      </c>
      <c r="P18" s="30">
        <f t="shared" si="4"/>
        <v>9.484743210122959E-2</v>
      </c>
      <c r="Q18" s="28">
        <f t="shared" si="8"/>
        <v>0.14569471475132326</v>
      </c>
      <c r="R18" s="31">
        <f>výpočty!$B$17*$A18^výpočty!$B$1</f>
        <v>2.9138942950264653E-3</v>
      </c>
      <c r="S18" s="30">
        <f t="shared" si="9"/>
        <v>7.2130200263733402E-2</v>
      </c>
    </row>
    <row r="19" spans="1:19" ht="16.5" thickTop="1" thickBot="1">
      <c r="A19" s="42">
        <f>(B19/výpočty!$O$17)^(1/(1+data!K1))</f>
        <v>15.641893354151478</v>
      </c>
      <c r="B19" s="43">
        <v>4.1666666666666664E-2</v>
      </c>
      <c r="C19" s="84"/>
      <c r="D19" s="94">
        <f>výpočty3!AK12</f>
        <v>0</v>
      </c>
      <c r="E19" s="70" t="str">
        <f t="shared" si="0"/>
        <v/>
      </c>
      <c r="F19" s="107" t="str">
        <f>výpočty3!AL$15</f>
        <v/>
      </c>
      <c r="G19" s="87" t="str">
        <f t="shared" si="2"/>
        <v/>
      </c>
      <c r="H19" s="103">
        <f>IF(B19&gt;0,B19/A19,0)</f>
        <v>2.6637866480280032E-3</v>
      </c>
      <c r="I19" s="37"/>
      <c r="J19" s="36"/>
      <c r="K19" s="37">
        <f>L19*$A19</f>
        <v>4.1666666666666664E-2</v>
      </c>
      <c r="L19" s="38">
        <f>výpočty!$O$17*$A19^výpočty!$O$1</f>
        <v>2.6637866480280032E-3</v>
      </c>
      <c r="M19" s="39">
        <f>IF(H19&gt;0,H19/L19-0.999999,"")</f>
        <v>1.0000000000287557E-6</v>
      </c>
      <c r="N19" s="37">
        <f>O19*$A19</f>
        <v>4.1627104014979564E-2</v>
      </c>
      <c r="O19" s="38">
        <f>výpočty!$A$17*$A19^výpočty!$A$1</f>
        <v>2.661257372908211E-3</v>
      </c>
      <c r="P19" s="39">
        <f>IF(H19&gt;0,H19/O19-1,"")</f>
        <v>9.5040605449914217E-4</v>
      </c>
      <c r="Q19" s="37">
        <f>R19*$A19</f>
        <v>4.1052711969926006E-2</v>
      </c>
      <c r="R19" s="38">
        <f>výpočty!$B$17*$A19^výpočty!$B$1</f>
        <v>2.6245359842598788E-3</v>
      </c>
      <c r="S19" s="39">
        <f>IF(H19&gt;0,H19/R19-1,"")</f>
        <v>1.4955277429428371E-2</v>
      </c>
    </row>
    <row r="20" spans="1:19" ht="16.5" thickTop="1" thickBot="1">
      <c r="A20" s="32">
        <v>100</v>
      </c>
      <c r="B20" s="41">
        <v>0.3911458333333333</v>
      </c>
      <c r="C20" s="85"/>
      <c r="D20" s="94">
        <f>výpočty3!AM12</f>
        <v>387</v>
      </c>
      <c r="E20" s="96" t="str">
        <f t="shared" si="0"/>
        <v/>
      </c>
      <c r="F20" s="110" t="str">
        <f>výpočty3!AM$15</f>
        <v/>
      </c>
      <c r="G20" s="95" t="str">
        <f t="shared" si="2"/>
        <v/>
      </c>
      <c r="H20" s="104">
        <f>IF(B20&gt;0,B20/A20,0)</f>
        <v>3.9114583333333328E-3</v>
      </c>
      <c r="I20" s="37" t="str">
        <f>IF(J20="ne","ne",J20*A20)</f>
        <v>ne</v>
      </c>
      <c r="J20" s="36" t="str">
        <f>IF(výpočty2!A17*výpočty2!B17&gt;0,L20*(1+MAX(výpočty2!A17,výpočty2!B17)),"ne")</f>
        <v>ne</v>
      </c>
      <c r="K20" s="33">
        <f>L20*$A20</f>
        <v>0.29599486647971807</v>
      </c>
      <c r="L20" s="34">
        <f>výpočty!$O$17*$A20^výpočty!$O$1</f>
        <v>2.9599486647971809E-3</v>
      </c>
      <c r="M20" s="35">
        <f t="shared" si="3"/>
        <v>0.32146254419923037</v>
      </c>
      <c r="N20" s="33">
        <f>O20*$A20</f>
        <v>0.29746064712444187</v>
      </c>
      <c r="O20" s="34">
        <f>výpočty!$A$17*$A20^výpočty!$A$1</f>
        <v>2.9746064712444188E-3</v>
      </c>
      <c r="P20" s="35">
        <f t="shared" si="4"/>
        <v>0.31494985005427778</v>
      </c>
      <c r="Q20" s="33">
        <f>R20*$A20</f>
        <v>0.31014622024471233</v>
      </c>
      <c r="R20" s="34">
        <f>výpočty!$B$17*$A20^výpočty!$B$1</f>
        <v>3.1014622024471234E-3</v>
      </c>
      <c r="S20" s="35">
        <f t="shared" si="9"/>
        <v>0.26116588822107967</v>
      </c>
    </row>
    <row r="21" spans="1:19" ht="15.75" thickTop="1"/>
    <row r="39" spans="3:3">
      <c r="C39" s="68"/>
    </row>
  </sheetData>
  <mergeCells count="8">
    <mergeCell ref="Q2:S2"/>
    <mergeCell ref="L1:M1"/>
    <mergeCell ref="D3:E3"/>
    <mergeCell ref="D2:E2"/>
    <mergeCell ref="F3:G3"/>
    <mergeCell ref="K2:M2"/>
    <mergeCell ref="N2:P2"/>
    <mergeCell ref="I2:J2"/>
  </mergeCells>
  <pageMargins left="0.70866141732283472" right="0.70866141732283472" top="0.78740157480314965" bottom="0.78740157480314965" header="0.31496062992125984" footer="0.31496062992125984"/>
  <pageSetup paperSize="9" scale="8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7"/>
  <sheetViews>
    <sheetView workbookViewId="0">
      <selection activeCell="B2" sqref="B2"/>
    </sheetView>
  </sheetViews>
  <sheetFormatPr defaultRowHeight="15"/>
  <cols>
    <col min="1" max="14" width="7.140625" style="1" bestFit="1" customWidth="1"/>
  </cols>
  <sheetData>
    <row r="1" spans="1:15">
      <c r="A1" s="1">
        <v>0.06</v>
      </c>
      <c r="B1" s="1">
        <v>0.09</v>
      </c>
      <c r="C1" s="1">
        <f>MIN(C36:C48)</f>
        <v>5.682528787813642E-2</v>
      </c>
      <c r="D1" s="1">
        <f t="shared" ref="D1:M1" si="0">MIN(D36:D48)</f>
        <v>3.6226625170336278E-2</v>
      </c>
      <c r="E1" s="1">
        <f t="shared" si="0"/>
        <v>5.3914295776107124E-2</v>
      </c>
      <c r="F1" s="1">
        <f t="shared" si="0"/>
        <v>5.3111486681869394E-2</v>
      </c>
      <c r="G1" s="1">
        <f t="shared" si="0"/>
        <v>3.7770838372585346E-2</v>
      </c>
      <c r="H1" s="1">
        <f t="shared" si="0"/>
        <v>4.7628292166505749E-2</v>
      </c>
      <c r="I1" s="1">
        <f t="shared" si="0"/>
        <v>2.9761920934893493E-2</v>
      </c>
      <c r="J1" s="1">
        <f t="shared" si="0"/>
        <v>8.290482660848715E-2</v>
      </c>
      <c r="K1" s="1">
        <f t="shared" si="0"/>
        <v>5.1171342027291275E-3</v>
      </c>
      <c r="L1" s="1">
        <f t="shared" si="0"/>
        <v>5.8244461688965285E-2</v>
      </c>
      <c r="M1" s="1">
        <f t="shared" si="0"/>
        <v>0.5003640561148851</v>
      </c>
      <c r="O1" s="1">
        <f>O34</f>
        <v>5.682528787813642E-2</v>
      </c>
    </row>
    <row r="3" spans="1:15">
      <c r="A3" s="22">
        <f>IF(data!$H7&gt;0,data!$H7/data!$A7^výpočty!A$1,1)</f>
        <v>2.2800336923470004E-3</v>
      </c>
      <c r="B3" s="22">
        <f>IF(data!$H7&gt;0,data!$H7/data!$A7^výpočty!B$1,1)</f>
        <v>2.295348139413937E-3</v>
      </c>
      <c r="C3" s="22">
        <f>IF(data!$H7&gt;0,data!$H7/data!$A7^výpočty!C$1,1)</f>
        <v>2.2784190507607292E-3</v>
      </c>
      <c r="D3" s="22">
        <f>IF(data!$H7&gt;0,data!$H7/data!$A7^výpočty!D$1,1)</f>
        <v>2.2679704233196617E-3</v>
      </c>
      <c r="E3" s="22">
        <f>IF(data!$H7&gt;0,data!$H7/data!$A7^výpočty!E$1,1)</f>
        <v>2.2769395406872475E-3</v>
      </c>
      <c r="F3" s="22">
        <f>IF(data!$H7&gt;0,data!$H7/data!$A7^výpočty!F$1,1)</f>
        <v>2.2765316824634608E-3</v>
      </c>
      <c r="G3" s="22">
        <f>IF(data!$H7&gt;0,data!$H7/data!$A7^výpočty!G$1,1)</f>
        <v>2.2687520579909516E-3</v>
      </c>
      <c r="H3" s="22">
        <f>IF(data!$H7&gt;0,data!$H7/data!$A7^výpočty!H$1,1)</f>
        <v>2.2737479593793182E-3</v>
      </c>
      <c r="I3" s="22">
        <f>IF(data!$H7&gt;0,data!$H7/data!$A7^výpočty!I$1,1)</f>
        <v>2.2647011052265957E-3</v>
      </c>
      <c r="J3" s="22">
        <f>IF(data!$H7&gt;0,data!$H7/data!$A7^výpočty!J$1,1)</f>
        <v>2.291716922710249E-3</v>
      </c>
      <c r="K3" s="22">
        <f>IF(data!$H7&gt;0,data!$H7/data!$A7^výpočty!K$1,1)</f>
        <v>2.252280959804856E-3</v>
      </c>
      <c r="L3" s="22">
        <f>IF(data!$H7&gt;0,data!$H7/data!$A7^výpočty!L$1,1)</f>
        <v>2.2791406935889517E-3</v>
      </c>
      <c r="M3" s="22">
        <f>IF(data!$H7&gt;0,data!$H7/data!$A7^výpočty!M$1,1)</f>
        <v>2.5154573088199297E-3</v>
      </c>
      <c r="N3" s="22"/>
      <c r="O3" s="22">
        <f>IF(data!$H7&gt;0,data!$H7/data!$A7^výpočty!O$1,1)</f>
        <v>2.2784190507607292E-3</v>
      </c>
    </row>
    <row r="4" spans="1:15">
      <c r="A4" s="22">
        <f>IF(data!$H8&gt;0,data!$H8/data!$A8^výpočty!A$1,1)</f>
        <v>2.3152777777777776E-3</v>
      </c>
      <c r="B4" s="22">
        <f>IF(data!$H8&gt;0,data!$H8/data!$A8^výpočty!B$1,1)</f>
        <v>2.3152777777777776E-3</v>
      </c>
      <c r="C4" s="22">
        <f>IF(data!$H8&gt;0,data!$H8/data!$A8^výpočty!C$1,1)</f>
        <v>2.3152777777777776E-3</v>
      </c>
      <c r="D4" s="22">
        <f>IF(data!$H8&gt;0,data!$H8/data!$A8^výpočty!D$1,1)</f>
        <v>2.3152777777777776E-3</v>
      </c>
      <c r="E4" s="22">
        <f>IF(data!$H8&gt;0,data!$H8/data!$A8^výpočty!E$1,1)</f>
        <v>2.3152777777777776E-3</v>
      </c>
      <c r="F4" s="22">
        <f>IF(data!$H8&gt;0,data!$H8/data!$A8^výpočty!F$1,1)</f>
        <v>2.3152777777777776E-3</v>
      </c>
      <c r="G4" s="22">
        <f>IF(data!$H8&gt;0,data!$H8/data!$A8^výpočty!G$1,1)</f>
        <v>2.3152777777777776E-3</v>
      </c>
      <c r="H4" s="22">
        <f>IF(data!$H8&gt;0,data!$H8/data!$A8^výpočty!H$1,1)</f>
        <v>2.3152777777777776E-3</v>
      </c>
      <c r="I4" s="22">
        <f>IF(data!$H8&gt;0,data!$H8/data!$A8^výpočty!I$1,1)</f>
        <v>2.3152777777777776E-3</v>
      </c>
      <c r="J4" s="22">
        <f>IF(data!$H8&gt;0,data!$H8/data!$A8^výpočty!J$1,1)</f>
        <v>2.3152777777777776E-3</v>
      </c>
      <c r="K4" s="22">
        <f>IF(data!$H8&gt;0,data!$H8/data!$A8^výpočty!K$1,1)</f>
        <v>2.3152777777777776E-3</v>
      </c>
      <c r="L4" s="22">
        <f>IF(data!$H8&gt;0,data!$H8/data!$A8^výpočty!L$1,1)</f>
        <v>2.3152777777777776E-3</v>
      </c>
      <c r="M4" s="22">
        <f>IF(data!$H8&gt;0,data!$H8/data!$A8^výpočty!M$1,1)</f>
        <v>2.3152777777777776E-3</v>
      </c>
      <c r="N4" s="22"/>
      <c r="O4" s="22">
        <f>IF(data!$H8&gt;0,data!$H8/data!$A8^výpočty!O$1,1)</f>
        <v>2.3152777777777776E-3</v>
      </c>
    </row>
    <row r="5" spans="1:15">
      <c r="A5" s="22">
        <f>IF(data!$H9&gt;0,data!$H9/data!$A9^výpočty!A$1,1)</f>
        <v>2.2930673988403273E-3</v>
      </c>
      <c r="B5" s="22">
        <f>IF(data!$H9&gt;0,data!$H9/data!$A9^výpočty!B$1,1)</f>
        <v>2.2653435916024701E-3</v>
      </c>
      <c r="C5" s="22">
        <f>IF(data!$H9&gt;0,data!$H9/data!$A9^výpočty!C$1,1)</f>
        <v>2.2960210160308994E-3</v>
      </c>
      <c r="D5" s="22">
        <f>IF(data!$H9&gt;0,data!$H9/data!$A9^výpočty!D$1,1)</f>
        <v>2.3152777777777776E-3</v>
      </c>
      <c r="E5" s="22">
        <f>IF(data!$H9&gt;0,data!$H9/data!$A9^výpočty!E$1,1)</f>
        <v>2.2987326227339008E-3</v>
      </c>
      <c r="F5" s="22">
        <f>IF(data!$H9&gt;0,data!$H9/data!$A9^výpočty!F$1,1)</f>
        <v>2.2994810074609402E-3</v>
      </c>
      <c r="G5" s="22">
        <f>IF(data!$H9&gt;0,data!$H9/data!$A9^výpočty!G$1,1)</f>
        <v>2.3138285792045719E-3</v>
      </c>
      <c r="H5" s="22">
        <f>IF(data!$H9&gt;0,data!$H9/data!$A9^výpočty!H$1,1)</f>
        <v>2.3045990021123355E-3</v>
      </c>
      <c r="I5" s="22">
        <f>IF(data!$H9&gt;0,data!$H9/data!$A9^výpočty!I$1,1)</f>
        <v>2.3213545724804418E-3</v>
      </c>
      <c r="J5" s="22">
        <f>IF(data!$H9&gt;0,data!$H9/data!$A9^výpočty!J$1,1)</f>
        <v>2.2718700178029701E-3</v>
      </c>
      <c r="K5" s="22">
        <f>IF(data!$H9&gt;0,data!$H9/data!$A9^výpočty!K$1,1)</f>
        <v>2.344667225812014E-3</v>
      </c>
      <c r="L5" s="22">
        <f>IF(data!$H9&gt;0,data!$H9/data!$A9^výpočty!L$1,1)</f>
        <v>2.2947002071255196E-3</v>
      </c>
      <c r="M5" s="22">
        <f>IF(data!$H9&gt;0,data!$H9/data!$A9^výpočty!M$1,1)</f>
        <v>1.9181058010724538E-3</v>
      </c>
      <c r="N5" s="22"/>
      <c r="O5" s="22">
        <f>IF(data!$H9&gt;0,data!$H9/data!$A9^výpočty!O$1,1)</f>
        <v>2.2960210160308994E-3</v>
      </c>
    </row>
    <row r="6" spans="1:15">
      <c r="A6" s="22">
        <f>IF(data!$H10&gt;0,data!$H10/data!$A10^výpočty!A$1,1)</f>
        <v>2.2869934250495808E-3</v>
      </c>
      <c r="B6" s="22">
        <f>IF(data!$H10&gt;0,data!$H10/data!$A10^výpočty!B$1,1)</f>
        <v>2.212846446107137E-3</v>
      </c>
      <c r="C6" s="22">
        <f>IF(data!$H10&gt;0,data!$H10/data!$A10^výpočty!C$1,1)</f>
        <v>2.2949838761908131E-3</v>
      </c>
      <c r="D6" s="22">
        <f>IF(data!$H10&gt;0,data!$H10/data!$A10^výpočty!D$1,1)</f>
        <v>2.3475113378503597E-3</v>
      </c>
      <c r="E6" s="22">
        <f>IF(data!$H10&gt;0,data!$H10/data!$A10^výpočty!E$1,1)</f>
        <v>2.302335101801578E-3</v>
      </c>
      <c r="F6" s="22">
        <f>IF(data!$H10&gt;0,data!$H10/data!$A10^výpočty!F$1,1)</f>
        <v>2.304366601694181E-3</v>
      </c>
      <c r="G6" s="22">
        <f>IF(data!$H10&gt;0,data!$H10/data!$A10^výpočty!G$1,1)</f>
        <v>2.343532180841637E-3</v>
      </c>
      <c r="H6" s="22">
        <f>IF(data!$H10&gt;0,data!$H10/data!$A10^výpočty!H$1,1)</f>
        <v>2.3182897807517084E-3</v>
      </c>
      <c r="I6" s="22">
        <f>IF(data!$H10&gt;0,data!$H10/data!$A10^výpočty!I$1,1)</f>
        <v>2.3642431872957881E-3</v>
      </c>
      <c r="J6" s="22">
        <f>IF(data!$H10&gt;0,data!$H10/data!$A10^výpočty!J$1,1)</f>
        <v>2.2301626413000967E-3</v>
      </c>
      <c r="K6" s="22">
        <f>IF(data!$H10&gt;0,data!$H10/data!$A10^výpočty!K$1,1)</f>
        <v>2.429129665654799E-3</v>
      </c>
      <c r="L6" s="22">
        <f>IF(data!$H10&gt;0,data!$H10/data!$A10^výpočty!L$1,1)</f>
        <v>2.2914085047695838E-3</v>
      </c>
      <c r="M6" s="22">
        <f>IF(data!$H10&gt;0,data!$H10/data!$A10^výpočty!M$1,1)</f>
        <v>1.4098011648049631E-3</v>
      </c>
      <c r="N6" s="22"/>
      <c r="O6" s="22">
        <f>IF(data!$H10&gt;0,data!$H10/data!$A10^výpočty!O$1,1)</f>
        <v>2.2949838761908131E-3</v>
      </c>
    </row>
    <row r="7" spans="1:15">
      <c r="A7" s="22">
        <f>IF(data!$H11&gt;0,data!$H11/data!$A11^výpočty!A$1,1)</f>
        <v>2.3127707245396531E-3</v>
      </c>
      <c r="B7" s="22">
        <f>IF(data!$H11&gt;0,data!$H11/data!$A11^výpočty!B$1,1)</f>
        <v>2.203755865333635E-3</v>
      </c>
      <c r="C7" s="22">
        <f>IF(data!$H11&gt;0,data!$H11/data!$A11^výpočty!C$1,1)</f>
        <v>2.3246180725474221E-3</v>
      </c>
      <c r="D7" s="22">
        <f>IF(data!$H11&gt;0,data!$H11/data!$A11^výpočty!D$1,1)</f>
        <v>2.4029761326250431E-3</v>
      </c>
      <c r="E7" s="22">
        <f>IF(data!$H11&gt;0,data!$H11/data!$A11^výpočty!E$1,1)</f>
        <v>2.3355346024760636E-3</v>
      </c>
      <c r="F7" s="22">
        <f>IF(data!$H11&gt;0,data!$H11/data!$A11^výpočty!F$1,1)</f>
        <v>2.3385542302898788E-3</v>
      </c>
      <c r="G7" s="22">
        <f>IF(data!$H11&gt;0,data!$H11/data!$A11^výpočty!G$1,1)</f>
        <v>2.397011394540557E-3</v>
      </c>
      <c r="H7" s="22">
        <f>IF(data!$H11&gt;0,data!$H11/data!$A11^výpočty!H$1,1)</f>
        <v>2.3592829762532378E-3</v>
      </c>
      <c r="I7" s="22">
        <f>IF(data!$H11&gt;0,data!$H11/data!$A11^výpočty!I$1,1)</f>
        <v>2.4281085128351016E-3</v>
      </c>
      <c r="J7" s="22">
        <f>IF(data!$H11&gt;0,data!$H11/data!$A11^výpočty!J$1,1)</f>
        <v>2.2290653171173369E-3</v>
      </c>
      <c r="K7" s="22">
        <f>IF(data!$H11&gt;0,data!$H11/data!$A11^výpočty!K$1,1)</f>
        <v>2.5263531459751945E-3</v>
      </c>
      <c r="L7" s="22">
        <f>IF(data!$H11&gt;0,data!$H11/data!$A11^výpočty!L$1,1)</f>
        <v>2.3193145363176464E-3</v>
      </c>
      <c r="M7" s="22">
        <f>IF(data!$H11&gt;0,data!$H11/data!$A11^výpočty!M$1,1)</f>
        <v>1.1384954914547363E-3</v>
      </c>
      <c r="N7" s="22"/>
      <c r="O7" s="22">
        <f>IF(data!$H11&gt;0,data!$H11/data!$A11^výpočty!O$1,1)</f>
        <v>2.3246180725474221E-3</v>
      </c>
    </row>
    <row r="8" spans="1:15">
      <c r="A8" s="22">
        <f>IF(data!$H12&gt;0,data!$H12/data!$A12^výpočty!A$1,1)</f>
        <v>2.2774084981814556E-3</v>
      </c>
      <c r="B8" s="22">
        <f>IF(data!$H12&gt;0,data!$H12/data!$A12^výpočty!B$1,1)</f>
        <v>2.1254012755994598E-3</v>
      </c>
      <c r="C8" s="22">
        <f>IF(data!$H12&gt;0,data!$H12/data!$A12^výpočty!C$1,1)</f>
        <v>2.2941174535457526E-3</v>
      </c>
      <c r="D8" s="22">
        <f>IF(data!$H12&gt;0,data!$H12/data!$A12^výpočty!D$1,1)</f>
        <v>2.4055495760636533E-3</v>
      </c>
      <c r="E8" s="22">
        <f>IF(data!$H12&gt;0,data!$H12/data!$A12^výpočty!E$1,1)</f>
        <v>2.3095461300742192E-3</v>
      </c>
      <c r="F8" s="22">
        <f>IF(data!$H12&gt;0,data!$H12/data!$A12^výpočty!F$1,1)</f>
        <v>2.3138193582151688E-3</v>
      </c>
      <c r="G8" s="22">
        <f>IF(data!$H12&gt;0,data!$H12/data!$A12^výpočty!G$1,1)</f>
        <v>2.3970113945405574E-3</v>
      </c>
      <c r="H8" s="22">
        <f>IF(data!$H12&gt;0,data!$H12/data!$A12^výpočty!H$1,1)</f>
        <v>2.3432177296933269E-3</v>
      </c>
      <c r="I8" s="22">
        <f>IF(data!$H12&gt;0,data!$H12/data!$A12^výpočty!I$1,1)</f>
        <v>2.4416252973125819E-3</v>
      </c>
      <c r="J8" s="22">
        <f>IF(data!$H12&gt;0,data!$H12/data!$A12^výpočty!J$1,1)</f>
        <v>2.1604096588941301E-3</v>
      </c>
      <c r="K8" s="22">
        <f>IF(data!$H12&gt;0,data!$H12/data!$A12^výpočty!K$1,1)</f>
        <v>2.5841861984831887E-3</v>
      </c>
      <c r="L8" s="22">
        <f>IF(data!$H12&gt;0,data!$H12/data!$A12^výpočty!L$1,1)</f>
        <v>2.2866330442032779E-3</v>
      </c>
      <c r="M8" s="22">
        <f>IF(data!$H12&gt;0,data!$H12/data!$A12^výpočty!M$1,1)</f>
        <v>8.2618419150343278E-4</v>
      </c>
      <c r="N8" s="22"/>
      <c r="O8" s="22">
        <f>IF(data!$H12&gt;0,data!$H12/data!$A12^výpočty!O$1,1)</f>
        <v>2.2941174535457526E-3</v>
      </c>
    </row>
    <row r="9" spans="1:15">
      <c r="A9" s="22">
        <f>IF(data!$H13&gt;0,data!$H13/data!$A13^výpočty!A$1,1)</f>
        <v>2.2798658360720383E-3</v>
      </c>
      <c r="B9" s="22">
        <f>IF(data!$H13&gt;0,data!$H13/data!$A13^výpočty!B$1,1)</f>
        <v>2.1019701915793157E-3</v>
      </c>
      <c r="C9" s="22">
        <f>IF(data!$H13&gt;0,data!$H13/data!$A13^výpočty!C$1,1)</f>
        <v>2.2995509786615E-3</v>
      </c>
      <c r="D9" s="22">
        <f>IF(data!$H13&gt;0,data!$H13/data!$A13^výpočty!D$1,1)</f>
        <v>2.4314701876429036E-3</v>
      </c>
      <c r="E9" s="22">
        <f>IF(data!$H13&gt;0,data!$H13/data!$A13^výpočty!E$1,1)</f>
        <v>2.317750237451963E-3</v>
      </c>
      <c r="F9" s="22">
        <f>IF(data!$H13&gt;0,data!$H13/data!$A13^výpočty!F$1,1)</f>
        <v>2.3227946175388898E-3</v>
      </c>
      <c r="G9" s="22">
        <f>IF(data!$H13&gt;0,data!$H13/data!$A13^výpočty!G$1,1)</f>
        <v>2.4213234794746726E-3</v>
      </c>
      <c r="H9" s="22">
        <f>IF(data!$H13&gt;0,data!$H13/data!$A13^výpočty!H$1,1)</f>
        <v>2.3575425951476848E-3</v>
      </c>
      <c r="I9" s="22">
        <f>IF(data!$H13&gt;0,data!$H13/data!$A13^výpočty!I$1,1)</f>
        <v>2.474412102595679E-3</v>
      </c>
      <c r="J9" s="22">
        <f>IF(data!$H13&gt;0,data!$H13/data!$A13^výpočty!J$1,1)</f>
        <v>2.1427481278946062E-3</v>
      </c>
      <c r="K9" s="22">
        <f>IF(data!$H13&gt;0,data!$H13/data!$A13^výpočty!K$1,1)</f>
        <v>2.6451880340625958E-3</v>
      </c>
      <c r="L9" s="22">
        <f>IF(data!$H13&gt;0,data!$H13/data!$A13^výpočty!L$1,1)</f>
        <v>2.2907303189226261E-3</v>
      </c>
      <c r="M9" s="22">
        <f>IF(data!$H13&gt;0,data!$H13/data!$A13^výpočty!M$1,1)</f>
        <v>6.9183252170537213E-4</v>
      </c>
      <c r="N9" s="22"/>
      <c r="O9" s="22">
        <f>IF(data!$H13&gt;0,data!$H13/data!$A13^výpočty!O$1,1)</f>
        <v>2.2995509786615E-3</v>
      </c>
    </row>
    <row r="10" spans="1:15">
      <c r="A10" s="22">
        <f>IF(data!$H14&gt;0,data!$H14/data!$A14^výpočty!A$1,1)</f>
        <v>2.2564697636227086E-3</v>
      </c>
      <c r="B10" s="22">
        <f>IF(data!$H14&gt;0,data!$H14/data!$A14^výpočty!B$1,1)</f>
        <v>2.0592177816351202E-3</v>
      </c>
      <c r="C10" s="22">
        <f>IF(data!$H14&gt;0,data!$H14/data!$A14^výpočty!C$1,1)</f>
        <v>2.2784190507607292E-3</v>
      </c>
      <c r="D10" s="22">
        <f>IF(data!$H14&gt;0,data!$H14/data!$A14^výpočty!D$1,1)</f>
        <v>2.4261139941970599E-3</v>
      </c>
      <c r="E10" s="22">
        <f>IF(data!$H14&gt;0,data!$H14/data!$A14^výpočty!E$1,1)</f>
        <v>2.2987326227339013E-3</v>
      </c>
      <c r="F10" s="22">
        <f>IF(data!$H14&gt;0,data!$H14/data!$A14^výpočty!F$1,1)</f>
        <v>2.3043666016941806E-3</v>
      </c>
      <c r="G10" s="22">
        <f>IF(data!$H14&gt;0,data!$H14/data!$A14^výpočty!G$1,1)</f>
        <v>2.4147172913986403E-3</v>
      </c>
      <c r="H10" s="22">
        <f>IF(data!$H14&gt;0,data!$H14/data!$A14^výpočty!H$1,1)</f>
        <v>2.3432177296933269E-3</v>
      </c>
      <c r="I10" s="22">
        <f>IF(data!$H14&gt;0,data!$H14/data!$A14^výpočty!I$1,1)</f>
        <v>2.4744121025956794E-3</v>
      </c>
      <c r="J10" s="22">
        <f>IF(data!$H14&gt;0,data!$H14/data!$A14^výpočty!J$1,1)</f>
        <v>2.1042532243620224E-3</v>
      </c>
      <c r="K10" s="22">
        <f>IF(data!$H14&gt;0,data!$H14/data!$A14^výpočty!K$1,1)</f>
        <v>2.667519944885963E-3</v>
      </c>
      <c r="L10" s="22">
        <f>IF(data!$H14&gt;0,data!$H14/data!$A14^výpočty!L$1,1)</f>
        <v>2.2685809179926525E-3</v>
      </c>
      <c r="M10" s="22">
        <f>IF(data!$H14&gt;0,data!$H14/data!$A14^výpočty!M$1,1)</f>
        <v>5.8922512004509439E-4</v>
      </c>
      <c r="N10" s="22"/>
      <c r="O10" s="22">
        <f>IF(data!$H14&gt;0,data!$H14/data!$A14^výpočty!O$1,1)</f>
        <v>2.2784190507607292E-3</v>
      </c>
    </row>
    <row r="11" spans="1:15">
      <c r="A11" s="22">
        <f>IF(data!$H15&gt;0,data!$H15/data!$A15^výpočty!A$1,1)</f>
        <v>2.3170215934050398E-3</v>
      </c>
      <c r="B11" s="22">
        <f>IF(data!$H15&gt;0,data!$H15/data!$A15^výpočty!B$1,1)</f>
        <v>2.1037391103685596E-3</v>
      </c>
      <c r="C11" s="22">
        <f>IF(data!$H15&gt;0,data!$H15/data!$A15^výpočty!C$1,1)</f>
        <v>2.3408206407419785E-3</v>
      </c>
      <c r="D11" s="22">
        <f>IF(data!$H15&gt;0,data!$H15/data!$A15^výpočty!D$1,1)</f>
        <v>2.5012887685725454E-3</v>
      </c>
      <c r="E11" s="22">
        <f>IF(data!$H15&gt;0,data!$H15/data!$A15^výpočty!E$1,1)</f>
        <v>2.3628574987589498E-3</v>
      </c>
      <c r="F11" s="22">
        <f>IF(data!$H15&gt;0,data!$H15/data!$A15^výpočty!F$1,1)</f>
        <v>2.3689713560552136E-3</v>
      </c>
      <c r="G11" s="22">
        <f>IF(data!$H15&gt;0,data!$H15/data!$A15^výpočty!G$1,1)</f>
        <v>2.4888866349644001E-3</v>
      </c>
      <c r="H11" s="22">
        <f>IF(data!$H15&gt;0,data!$H15/data!$A15^výpočty!H$1,1)</f>
        <v>2.4111542053032028E-3</v>
      </c>
      <c r="I11" s="22">
        <f>IF(data!$H15&gt;0,data!$H15/data!$A15^výpočty!I$1,1)</f>
        <v>2.5538836144275083E-3</v>
      </c>
      <c r="J11" s="22">
        <f>IF(data!$H15&gt;0,data!$H15/data!$A15^výpočty!J$1,1)</f>
        <v>2.1523381703658297E-3</v>
      </c>
      <c r="K11" s="22">
        <f>IF(data!$H15&gt;0,data!$H15/data!$A15^výpočty!K$1,1)</f>
        <v>2.7647319736153878E-3</v>
      </c>
      <c r="L11" s="22">
        <f>IF(data!$H15&gt;0,data!$H15/data!$A15^výpočty!L$1,1)</f>
        <v>2.3301518212489629E-3</v>
      </c>
      <c r="M11" s="22">
        <f>IF(data!$H15&gt;0,data!$H15/data!$A15^výpočty!M$1,1)</f>
        <v>5.6147128303846844E-4</v>
      </c>
      <c r="N11" s="22"/>
      <c r="O11" s="22">
        <f>IF(data!$H15&gt;0,data!$H15/data!$A15^výpočty!O$1,1)</f>
        <v>2.3408206407419785E-3</v>
      </c>
    </row>
    <row r="12" spans="1:15">
      <c r="A12" s="22">
        <f>IF(data!$H16&gt;0,data!$H16/data!$A16^výpočty!A$1,1)</f>
        <v>2.2939523236499243E-3</v>
      </c>
      <c r="B12" s="22">
        <f>IF(data!$H16&gt;0,data!$H16/data!$A16^výpočty!B$1,1)</f>
        <v>2.0714323281863919E-3</v>
      </c>
      <c r="C12" s="22">
        <f>IF(data!$H16&gt;0,data!$H16/data!$A16^výpočty!C$1,1)</f>
        <v>2.3188562257838107E-3</v>
      </c>
      <c r="D12" s="22">
        <f>IF(data!$H16&gt;0,data!$H16/data!$A16^výpočty!D$1,1)</f>
        <v>2.4871417899742544E-3</v>
      </c>
      <c r="E12" s="22">
        <f>IF(data!$H16&gt;0,data!$H16/data!$A16^výpočty!E$1,1)</f>
        <v>2.3419289249454007E-3</v>
      </c>
      <c r="F12" s="22">
        <f>IF(data!$H16&gt;0,data!$H16/data!$A16^výpočty!F$1,1)</f>
        <v>2.3483323287289849E-3</v>
      </c>
      <c r="G12" s="22">
        <f>IF(data!$H16&gt;0,data!$H16/data!$A16^výpočty!G$1,1)</f>
        <v>2.4741131331145381E-3</v>
      </c>
      <c r="H12" s="22">
        <f>IF(data!$H16&gt;0,data!$H16/data!$A16^výpočty!H$1,1)</f>
        <v>2.3925383075133655E-3</v>
      </c>
      <c r="I12" s="22">
        <f>IF(data!$H16&gt;0,data!$H16/data!$A16^výpočty!I$1,1)</f>
        <v>2.5424340530550362E-3</v>
      </c>
      <c r="J12" s="22">
        <f>IF(data!$H16&gt;0,data!$H16/data!$A16^výpočty!J$1,1)</f>
        <v>2.1220283478741516E-3</v>
      </c>
      <c r="K12" s="22">
        <f>IF(data!$H16&gt;0,data!$H16/data!$A16^výpočty!K$1,1)</f>
        <v>2.7647319736153878E-3</v>
      </c>
      <c r="L12" s="22">
        <f>IF(data!$H16&gt;0,data!$H16/data!$A16^výpočty!L$1,1)</f>
        <v>2.3076903312307063E-3</v>
      </c>
      <c r="M12" s="22">
        <f>IF(data!$H16&gt;0,data!$H16/data!$A16^výpočty!M$1,1)</f>
        <v>5.1299517505349213E-4</v>
      </c>
      <c r="N12" s="22"/>
      <c r="O12" s="22">
        <f>IF(data!$H16&gt;0,data!$H16/data!$A16^výpočty!O$1,1)</f>
        <v>2.3188562257838107E-3</v>
      </c>
    </row>
    <row r="13" spans="1:15">
      <c r="A13" s="22">
        <f>IF(data!$H17&gt;0,data!$H17/data!$A17^výpočty!A$1,1)</f>
        <v>2.2925790663082279E-3</v>
      </c>
      <c r="B13" s="22">
        <f>IF(data!$H17&gt;0,data!$H17/data!$A17^výpočty!B$1,1)</f>
        <v>2.0491157564000227E-3</v>
      </c>
      <c r="C13" s="22">
        <f>IF(data!$H17&gt;0,data!$H17/data!$A17^výpočty!C$1,1)</f>
        <v>2.3199790241944713E-3</v>
      </c>
      <c r="D13" s="22">
        <f>IF(data!$H17&gt;0,data!$H17/data!$A17^výpočty!D$1,1)</f>
        <v>2.5058914899622042E-3</v>
      </c>
      <c r="E13" s="22">
        <f>IF(data!$H17&gt;0,data!$H17/data!$A17^výpočty!E$1,1)</f>
        <v>2.3453905998391607E-3</v>
      </c>
      <c r="F13" s="22">
        <f>IF(data!$H17&gt;0,data!$H17/data!$A17^výpočty!F$1,1)</f>
        <v>2.3524475786700612E-3</v>
      </c>
      <c r="G13" s="22">
        <f>IF(data!$H17&gt;0,data!$H17/data!$A17^výpočty!G$1,1)</f>
        <v>2.4914519268790531E-3</v>
      </c>
      <c r="H13" s="22">
        <f>IF(data!$H17&gt;0,data!$H17/data!$A17^výpočty!H$1,1)</f>
        <v>2.4012179248192544E-3</v>
      </c>
      <c r="I13" s="22">
        <f>IF(data!$H17&gt;0,data!$H17/data!$A17^výpočty!I$1,1)</f>
        <v>2.5672554995519515E-3</v>
      </c>
      <c r="J13" s="22">
        <f>IF(data!$H17&gt;0,data!$H17/data!$A17^výpočty!J$1,1)</f>
        <v>2.1042532243620224E-3</v>
      </c>
      <c r="K13" s="22">
        <f>IF(data!$H17&gt;0,data!$H17/data!$A17^výpočty!K$1,1)</f>
        <v>2.8152910740454071E-3</v>
      </c>
      <c r="L13" s="22">
        <f>IF(data!$H17&gt;0,data!$H17/data!$A17^výpočty!L$1,1)</f>
        <v>2.3076903312307068E-3</v>
      </c>
      <c r="M13" s="22">
        <f>IF(data!$H17&gt;0,data!$H17/data!$A17^výpočty!M$1,1)</f>
        <v>4.4118201528079652E-4</v>
      </c>
      <c r="N13" s="22"/>
      <c r="O13" s="22">
        <f>IF(data!$H17&gt;0,data!$H17/data!$A17^výpočty!O$1,1)</f>
        <v>2.3199790241944713E-3</v>
      </c>
    </row>
    <row r="14" spans="1:15">
      <c r="A14" s="22">
        <f>IF(data!$H18&gt;0,data!$H18/data!$A18^výpočty!A$1,1)</f>
        <v>2.470490126316391E-3</v>
      </c>
      <c r="B14" s="22">
        <f>IF(data!$H18&gt;0,data!$H18/data!$A18^výpočty!B$1,1)</f>
        <v>2.1969188862727275E-3</v>
      </c>
      <c r="C14" s="22">
        <f>IF(data!$H18&gt;0,data!$H18/data!$A18^výpočty!C$1,1)</f>
        <v>2.5013638159739338E-3</v>
      </c>
      <c r="D14" s="22">
        <f>IF(data!$H18&gt;0,data!$H18/data!$A18^výpočty!D$1,1)</f>
        <v>2.7112737743866838E-3</v>
      </c>
      <c r="E14" s="22">
        <f>IF(data!$H18&gt;0,data!$H18/data!$A18^výpočty!E$1,1)</f>
        <v>2.5300118273997416E-3</v>
      </c>
      <c r="F14" s="22">
        <f>IF(data!$H18&gt;0,data!$H18/data!$A18^výpočty!F$1,1)</f>
        <v>2.5379700922407923E-3</v>
      </c>
      <c r="G14" s="22">
        <f>IF(data!$H18&gt;0,data!$H18/data!$A18^výpočty!G$1,1)</f>
        <v>2.6949443487675369E-3</v>
      </c>
      <c r="H14" s="22">
        <f>IF(data!$H18&gt;0,data!$H18/data!$A18^výpočty!H$1,1)</f>
        <v>2.5929986043609033E-3</v>
      </c>
      <c r="I14" s="22">
        <f>IF(data!$H18&gt;0,data!$H18/data!$A18^výpočty!I$1,1)</f>
        <v>2.7807164869216492E-3</v>
      </c>
      <c r="J14" s="22">
        <f>IF(data!$H18&gt;0,data!$H18/data!$A18^výpočty!J$1,1)</f>
        <v>2.2587517869202245E-3</v>
      </c>
      <c r="K14" s="22">
        <f>IF(data!$H18&gt;0,data!$H18/data!$A18^výpočty!K$1,1)</f>
        <v>3.0621570816564952E-3</v>
      </c>
      <c r="L14" s="22">
        <f>IF(data!$H18&gt;0,data!$H18/data!$A18^výpočty!L$1,1)</f>
        <v>2.4875151212376398E-3</v>
      </c>
      <c r="M14" s="22">
        <f>IF(data!$H18&gt;0,data!$H18/data!$A18^výpočty!M$1,1)</f>
        <v>4.4118201528079657E-4</v>
      </c>
      <c r="N14" s="22"/>
      <c r="O14" s="22">
        <f>IF(data!$H18&gt;0,data!$H18/data!$A18^výpočty!O$1,1)</f>
        <v>2.5013638159739338E-3</v>
      </c>
    </row>
    <row r="15" spans="1:1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pans="1:15">
      <c r="O16" s="1"/>
    </row>
    <row r="17" spans="1:15">
      <c r="A17" s="22">
        <f>MIN(A3:A15)</f>
        <v>2.2564697636227086E-3</v>
      </c>
      <c r="B17" s="22">
        <f t="shared" ref="B17:M17" si="1">MIN(B3:B15)</f>
        <v>2.0491157564000227E-3</v>
      </c>
      <c r="C17" s="22">
        <f t="shared" si="1"/>
        <v>2.2784190507607292E-3</v>
      </c>
      <c r="D17" s="22">
        <f t="shared" si="1"/>
        <v>2.2679704233196617E-3</v>
      </c>
      <c r="E17" s="22">
        <f t="shared" si="1"/>
        <v>2.2769395406872475E-3</v>
      </c>
      <c r="F17" s="22">
        <f t="shared" si="1"/>
        <v>2.2765316824634608E-3</v>
      </c>
      <c r="G17" s="22">
        <f t="shared" si="1"/>
        <v>2.2687520579909516E-3</v>
      </c>
      <c r="H17" s="22">
        <f t="shared" si="1"/>
        <v>2.2737479593793182E-3</v>
      </c>
      <c r="I17" s="22">
        <f t="shared" si="1"/>
        <v>2.2647011052265957E-3</v>
      </c>
      <c r="J17" s="22">
        <f t="shared" si="1"/>
        <v>2.1042532243620224E-3</v>
      </c>
      <c r="K17" s="22">
        <f t="shared" si="1"/>
        <v>2.252280959804856E-3</v>
      </c>
      <c r="L17" s="22">
        <f t="shared" si="1"/>
        <v>2.2685809179926525E-3</v>
      </c>
      <c r="M17" s="22">
        <f t="shared" si="1"/>
        <v>4.4118201528079652E-4</v>
      </c>
      <c r="N17" s="22"/>
      <c r="O17" s="22">
        <f>MIN(O3:O15)</f>
        <v>2.2784190507607292E-3</v>
      </c>
    </row>
    <row r="19" spans="1:15">
      <c r="A19" s="1">
        <f t="shared" ref="A19:B30" si="2">IF(A3&lt;1,A3/A$17-1,0)</f>
        <v>1.0442829371868134E-2</v>
      </c>
      <c r="B19" s="1">
        <f t="shared" si="2"/>
        <v>0.1201651894212683</v>
      </c>
      <c r="C19" s="1">
        <f t="shared" ref="C19:M30" si="3">IF(C3&lt;1,C3/C$17-1,0)</f>
        <v>0</v>
      </c>
      <c r="D19" s="1">
        <f t="shared" si="3"/>
        <v>0</v>
      </c>
      <c r="E19" s="1">
        <f t="shared" si="3"/>
        <v>0</v>
      </c>
      <c r="F19" s="1">
        <f t="shared" si="3"/>
        <v>0</v>
      </c>
      <c r="G19" s="1">
        <f t="shared" si="3"/>
        <v>0</v>
      </c>
      <c r="H19" s="1">
        <f t="shared" si="3"/>
        <v>0</v>
      </c>
      <c r="I19" s="1">
        <f t="shared" si="3"/>
        <v>0</v>
      </c>
      <c r="J19" s="1">
        <f t="shared" si="3"/>
        <v>8.90879938677831E-2</v>
      </c>
      <c r="K19" s="1">
        <f t="shared" si="3"/>
        <v>0</v>
      </c>
      <c r="L19" s="1">
        <f t="shared" si="3"/>
        <v>4.6547934493088583E-3</v>
      </c>
      <c r="M19" s="1">
        <f t="shared" si="3"/>
        <v>4.7016315753916924</v>
      </c>
    </row>
    <row r="20" spans="1:15">
      <c r="A20" s="1">
        <f t="shared" si="2"/>
        <v>2.6061955317608243E-2</v>
      </c>
      <c r="B20" s="1">
        <f t="shared" si="2"/>
        <v>0.12989115941666474</v>
      </c>
      <c r="C20" s="1">
        <f t="shared" ref="C20:M20" si="4">IF(C4&lt;1,C4/C$17-1,0)</f>
        <v>1.617732567884822E-2</v>
      </c>
      <c r="D20" s="1">
        <f t="shared" si="4"/>
        <v>2.0858893913118903E-2</v>
      </c>
      <c r="E20" s="1">
        <f t="shared" si="4"/>
        <v>1.6837617514849912E-2</v>
      </c>
      <c r="F20" s="1">
        <f t="shared" si="4"/>
        <v>1.7019791823142727E-2</v>
      </c>
      <c r="G20" s="1">
        <f t="shared" si="4"/>
        <v>2.0507185711613696E-2</v>
      </c>
      <c r="H20" s="1">
        <f t="shared" si="4"/>
        <v>1.8264917282123205E-2</v>
      </c>
      <c r="I20" s="1">
        <f t="shared" si="4"/>
        <v>2.2332603818869812E-2</v>
      </c>
      <c r="J20" s="1">
        <f t="shared" si="4"/>
        <v>0.10028477132534031</v>
      </c>
      <c r="K20" s="1">
        <f t="shared" si="4"/>
        <v>2.7970230667127671E-2</v>
      </c>
      <c r="L20" s="1">
        <f t="shared" si="4"/>
        <v>2.0584171988206945E-2</v>
      </c>
      <c r="M20" s="1">
        <f t="shared" si="4"/>
        <v>4.2478970075518294</v>
      </c>
    </row>
    <row r="21" spans="1:15">
      <c r="A21" s="1">
        <f t="shared" si="2"/>
        <v>1.6218978781644244E-2</v>
      </c>
      <c r="B21" s="1">
        <f t="shared" si="2"/>
        <v>0.10552250868556401</v>
      </c>
      <c r="C21" s="1">
        <f t="shared" si="3"/>
        <v>7.7255170703971476E-3</v>
      </c>
      <c r="D21" s="1">
        <f t="shared" si="3"/>
        <v>2.0858893913118903E-2</v>
      </c>
      <c r="E21" s="1">
        <f t="shared" si="3"/>
        <v>9.5712168273363041E-3</v>
      </c>
      <c r="F21" s="1">
        <f t="shared" si="3"/>
        <v>1.0080828294313893E-2</v>
      </c>
      <c r="G21" s="1">
        <f t="shared" si="3"/>
        <v>1.9868421079708876E-2</v>
      </c>
      <c r="H21" s="1">
        <f t="shared" si="3"/>
        <v>1.3568365220848477E-2</v>
      </c>
      <c r="I21" s="1">
        <f t="shared" si="3"/>
        <v>2.5015869477476915E-2</v>
      </c>
      <c r="J21" s="1">
        <f t="shared" si="3"/>
        <v>7.9656189426425383E-2</v>
      </c>
      <c r="K21" s="1">
        <f t="shared" si="3"/>
        <v>4.1018979272977818E-2</v>
      </c>
      <c r="L21" s="1">
        <f t="shared" si="3"/>
        <v>1.151349238888022E-2</v>
      </c>
      <c r="M21" s="1">
        <f t="shared" si="3"/>
        <v>3.3476518412738301</v>
      </c>
    </row>
    <row r="22" spans="1:15">
      <c r="A22" s="1">
        <f t="shared" si="2"/>
        <v>1.3527175023106519E-2</v>
      </c>
      <c r="B22" s="1">
        <f t="shared" si="2"/>
        <v>7.99030943936343E-2</v>
      </c>
      <c r="C22" s="1">
        <f t="shared" si="3"/>
        <v>7.2703155394320262E-3</v>
      </c>
      <c r="D22" s="1">
        <f t="shared" si="3"/>
        <v>3.5071407330909077E-2</v>
      </c>
      <c r="E22" s="1">
        <f t="shared" si="3"/>
        <v>1.1153375248016184E-2</v>
      </c>
      <c r="F22" s="1">
        <f t="shared" si="3"/>
        <v>1.2226897365469336E-2</v>
      </c>
      <c r="G22" s="1">
        <f t="shared" si="3"/>
        <v>3.2960905792810857E-2</v>
      </c>
      <c r="H22" s="1">
        <f t="shared" si="3"/>
        <v>1.9589603671177791E-2</v>
      </c>
      <c r="I22" s="1">
        <f t="shared" si="3"/>
        <v>4.3953739343114195E-2</v>
      </c>
      <c r="J22" s="1">
        <f t="shared" si="3"/>
        <v>5.983567732265116E-2</v>
      </c>
      <c r="K22" s="1">
        <f t="shared" si="3"/>
        <v>7.8519824571649188E-2</v>
      </c>
      <c r="L22" s="1">
        <f t="shared" si="3"/>
        <v>1.006249616043231E-2</v>
      </c>
      <c r="M22" s="1">
        <f t="shared" si="3"/>
        <v>2.1955091458287921</v>
      </c>
    </row>
    <row r="23" spans="1:15">
      <c r="A23" s="1">
        <f t="shared" si="2"/>
        <v>2.4950904206469282E-2</v>
      </c>
      <c r="B23" s="1">
        <f t="shared" si="2"/>
        <v>7.5466751183101088E-2</v>
      </c>
      <c r="C23" s="1">
        <f t="shared" si="3"/>
        <v>2.0276788754582942E-2</v>
      </c>
      <c r="D23" s="1">
        <f t="shared" si="3"/>
        <v>5.9527103139101589E-2</v>
      </c>
      <c r="E23" s="1">
        <f t="shared" si="3"/>
        <v>2.5734131601548915E-2</v>
      </c>
      <c r="F23" s="1">
        <f t="shared" si="3"/>
        <v>2.7244315686089093E-2</v>
      </c>
      <c r="G23" s="1">
        <f t="shared" si="3"/>
        <v>5.6532989622137375E-2</v>
      </c>
      <c r="H23" s="1">
        <f t="shared" si="3"/>
        <v>3.7618512870383647E-2</v>
      </c>
      <c r="I23" s="1">
        <f t="shared" si="3"/>
        <v>7.2154072443107786E-2</v>
      </c>
      <c r="J23" s="1">
        <f t="shared" si="3"/>
        <v>5.9314198172682131E-2</v>
      </c>
      <c r="K23" s="1">
        <f t="shared" si="3"/>
        <v>0.12168649962484479</v>
      </c>
      <c r="L23" s="1">
        <f t="shared" si="3"/>
        <v>2.2363592112855102E-2</v>
      </c>
      <c r="M23" s="1">
        <f t="shared" si="3"/>
        <v>1.5805573482639015</v>
      </c>
    </row>
    <row r="24" spans="1:15">
      <c r="A24" s="1">
        <f t="shared" si="2"/>
        <v>9.2794217304867921E-3</v>
      </c>
      <c r="B24" s="1">
        <f t="shared" si="2"/>
        <v>3.7228506472205769E-2</v>
      </c>
      <c r="C24" s="1">
        <f t="shared" si="3"/>
        <v>6.8900419261250789E-3</v>
      </c>
      <c r="D24" s="1">
        <f t="shared" si="3"/>
        <v>6.066179317392284E-2</v>
      </c>
      <c r="E24" s="1">
        <f t="shared" si="3"/>
        <v>1.4320358008772516E-2</v>
      </c>
      <c r="F24" s="1">
        <f t="shared" si="3"/>
        <v>1.6379159595687476E-2</v>
      </c>
      <c r="G24" s="1">
        <f t="shared" si="3"/>
        <v>5.6532989622137597E-2</v>
      </c>
      <c r="H24" s="1">
        <f t="shared" si="3"/>
        <v>3.0552977530971637E-2</v>
      </c>
      <c r="I24" s="1">
        <f t="shared" si="3"/>
        <v>7.8122535321624165E-2</v>
      </c>
      <c r="J24" s="1">
        <f t="shared" si="3"/>
        <v>2.6687108700585993E-2</v>
      </c>
      <c r="K24" s="1">
        <f t="shared" si="3"/>
        <v>0.14736404764842925</v>
      </c>
      <c r="L24" s="1">
        <f t="shared" si="3"/>
        <v>7.9574530789048303E-3</v>
      </c>
      <c r="M24" s="1">
        <f t="shared" si="3"/>
        <v>0.87266063186550391</v>
      </c>
    </row>
    <row r="25" spans="1:15">
      <c r="A25" s="1">
        <f t="shared" si="2"/>
        <v>1.0368440484559427E-2</v>
      </c>
      <c r="B25" s="1">
        <f t="shared" si="2"/>
        <v>2.5793777152028685E-2</v>
      </c>
      <c r="C25" s="1">
        <f t="shared" si="3"/>
        <v>9.2748205795221139E-3</v>
      </c>
      <c r="D25" s="1">
        <f t="shared" si="3"/>
        <v>7.2090783302158234E-2</v>
      </c>
      <c r="E25" s="1">
        <f t="shared" si="3"/>
        <v>1.7923487222852419E-2</v>
      </c>
      <c r="F25" s="1">
        <f t="shared" si="3"/>
        <v>2.0321674164168524E-2</v>
      </c>
      <c r="G25" s="1">
        <f t="shared" si="3"/>
        <v>6.7249050395937759E-2</v>
      </c>
      <c r="H25" s="1">
        <f t="shared" si="3"/>
        <v>3.6853088937456757E-2</v>
      </c>
      <c r="I25" s="1">
        <f t="shared" si="3"/>
        <v>9.2599856504287148E-2</v>
      </c>
      <c r="J25" s="1">
        <f t="shared" si="3"/>
        <v>1.8293855077377907E-2</v>
      </c>
      <c r="K25" s="1">
        <f t="shared" si="3"/>
        <v>0.1744485174228807</v>
      </c>
      <c r="L25" s="1">
        <f t="shared" si="3"/>
        <v>9.7635489897236472E-3</v>
      </c>
      <c r="M25" s="1">
        <f t="shared" si="3"/>
        <v>0.56813400760465171</v>
      </c>
    </row>
    <row r="26" spans="1:15">
      <c r="A26" s="1">
        <f t="shared" si="2"/>
        <v>0</v>
      </c>
      <c r="B26" s="1">
        <f t="shared" si="2"/>
        <v>4.9299436615748427E-3</v>
      </c>
      <c r="C26" s="1">
        <f t="shared" si="3"/>
        <v>0</v>
      </c>
      <c r="D26" s="1">
        <f t="shared" si="3"/>
        <v>6.9729115182164181E-2</v>
      </c>
      <c r="E26" s="1">
        <f t="shared" si="3"/>
        <v>9.5712168273365261E-3</v>
      </c>
      <c r="F26" s="1">
        <f t="shared" si="3"/>
        <v>1.2226897365469336E-2</v>
      </c>
      <c r="G26" s="1">
        <f t="shared" si="3"/>
        <v>6.4337234601539173E-2</v>
      </c>
      <c r="H26" s="1">
        <f t="shared" si="3"/>
        <v>3.0552977530971637E-2</v>
      </c>
      <c r="I26" s="1">
        <f t="shared" si="3"/>
        <v>9.259985650428737E-2</v>
      </c>
      <c r="J26" s="1">
        <f t="shared" si="3"/>
        <v>0</v>
      </c>
      <c r="K26" s="1">
        <f t="shared" si="3"/>
        <v>0.18436375944726024</v>
      </c>
      <c r="L26" s="1">
        <f t="shared" si="3"/>
        <v>0</v>
      </c>
      <c r="M26" s="1">
        <f t="shared" si="3"/>
        <v>0.3355601534891981</v>
      </c>
    </row>
    <row r="27" spans="1:15">
      <c r="A27" s="1">
        <f t="shared" si="2"/>
        <v>2.6834762317008209E-2</v>
      </c>
      <c r="B27" s="1">
        <f t="shared" si="2"/>
        <v>2.6657036723245708E-2</v>
      </c>
      <c r="C27" s="1">
        <f t="shared" si="3"/>
        <v>2.7388109294650853E-2</v>
      </c>
      <c r="D27" s="1">
        <f t="shared" si="3"/>
        <v>0.10287539151915936</v>
      </c>
      <c r="E27" s="1">
        <f t="shared" si="3"/>
        <v>3.7733965499044286E-2</v>
      </c>
      <c r="F27" s="1">
        <f t="shared" si="3"/>
        <v>4.06054852229083E-2</v>
      </c>
      <c r="G27" s="1">
        <f t="shared" si="3"/>
        <v>9.7028926628670131E-2</v>
      </c>
      <c r="H27" s="1">
        <f t="shared" si="3"/>
        <v>6.0431608242715429E-2</v>
      </c>
      <c r="I27" s="1">
        <f t="shared" si="3"/>
        <v>0.12769124743813753</v>
      </c>
      <c r="J27" s="1">
        <f t="shared" si="3"/>
        <v>2.2851311547062547E-2</v>
      </c>
      <c r="K27" s="1">
        <f t="shared" si="3"/>
        <v>0.22752535005887187</v>
      </c>
      <c r="L27" s="1">
        <f t="shared" si="3"/>
        <v>2.7140712842983472E-2</v>
      </c>
      <c r="M27" s="1">
        <f t="shared" si="3"/>
        <v>0.27265224689884993</v>
      </c>
    </row>
    <row r="28" spans="1:15">
      <c r="A28" s="1">
        <f t="shared" si="2"/>
        <v>1.661115102514743E-2</v>
      </c>
      <c r="B28" s="1">
        <f t="shared" si="2"/>
        <v>1.0890830211357061E-2</v>
      </c>
      <c r="C28" s="1">
        <f t="shared" si="3"/>
        <v>1.7747909459227884E-2</v>
      </c>
      <c r="D28" s="1">
        <f t="shared" si="3"/>
        <v>9.6637665289209806E-2</v>
      </c>
      <c r="E28" s="1">
        <f t="shared" si="3"/>
        <v>2.8542428596297853E-2</v>
      </c>
      <c r="F28" s="1">
        <f t="shared" si="3"/>
        <v>3.1539489135432364E-2</v>
      </c>
      <c r="G28" s="1">
        <f t="shared" si="3"/>
        <v>9.0517196182926973E-2</v>
      </c>
      <c r="H28" s="1">
        <f t="shared" si="3"/>
        <v>5.2244290157152928E-2</v>
      </c>
      <c r="I28" s="1">
        <f t="shared" si="3"/>
        <v>0.12263558629766802</v>
      </c>
      <c r="J28" s="1">
        <f t="shared" si="3"/>
        <v>8.4472359630187732E-3</v>
      </c>
      <c r="K28" s="1">
        <f t="shared" si="3"/>
        <v>0.22752535005887187</v>
      </c>
      <c r="L28" s="1">
        <f t="shared" si="3"/>
        <v>1.7239593671915188E-2</v>
      </c>
      <c r="M28" s="1">
        <f t="shared" si="3"/>
        <v>0.16277444974040733</v>
      </c>
    </row>
    <row r="29" spans="1:15">
      <c r="A29" s="1">
        <f t="shared" si="2"/>
        <v>1.6002564389582918E-2</v>
      </c>
      <c r="B29" s="1">
        <f t="shared" si="2"/>
        <v>0</v>
      </c>
      <c r="C29" s="1">
        <f t="shared" si="3"/>
        <v>1.8240706607445922E-2</v>
      </c>
      <c r="D29" s="1">
        <f t="shared" si="3"/>
        <v>0.10490483658701955</v>
      </c>
      <c r="E29" s="1">
        <f t="shared" si="3"/>
        <v>3.0062747793141886E-2</v>
      </c>
      <c r="F29" s="1">
        <f t="shared" si="3"/>
        <v>3.3347173154406162E-2</v>
      </c>
      <c r="G29" s="1">
        <f t="shared" si="3"/>
        <v>9.8159632783014983E-2</v>
      </c>
      <c r="H29" s="1">
        <f t="shared" si="3"/>
        <v>5.6061607406448166E-2</v>
      </c>
      <c r="I29" s="1">
        <f t="shared" si="3"/>
        <v>0.13359572864918245</v>
      </c>
      <c r="J29" s="1">
        <f t="shared" si="3"/>
        <v>0</v>
      </c>
      <c r="K29" s="1">
        <f t="shared" si="3"/>
        <v>0.24997330452473032</v>
      </c>
      <c r="L29" s="1">
        <f t="shared" si="3"/>
        <v>1.723959367191541E-2</v>
      </c>
      <c r="M29" s="1">
        <f t="shared" si="3"/>
        <v>0</v>
      </c>
    </row>
    <row r="30" spans="1:15">
      <c r="A30" s="1">
        <f t="shared" si="2"/>
        <v>9.484743210122959E-2</v>
      </c>
      <c r="B30" s="1">
        <f t="shared" si="2"/>
        <v>7.213020026373318E-2</v>
      </c>
      <c r="C30" s="1">
        <f t="shared" si="3"/>
        <v>9.7850641276356454E-2</v>
      </c>
      <c r="D30" s="1">
        <f t="shared" si="3"/>
        <v>0.19546258033566088</v>
      </c>
      <c r="E30" s="1">
        <f t="shared" si="3"/>
        <v>0.11114580874471058</v>
      </c>
      <c r="F30" s="1">
        <f t="shared" si="3"/>
        <v>0.11484066388851044</v>
      </c>
      <c r="G30" s="1">
        <f t="shared" si="3"/>
        <v>0.18785318090421543</v>
      </c>
      <c r="H30" s="1">
        <f t="shared" si="3"/>
        <v>0.14040722660779581</v>
      </c>
      <c r="I30" s="1">
        <f t="shared" si="3"/>
        <v>0.22785142838680406</v>
      </c>
      <c r="J30" s="1">
        <f t="shared" si="3"/>
        <v>7.342203912033618E-2</v>
      </c>
      <c r="K30" s="1">
        <f t="shared" si="3"/>
        <v>0.35958041483501657</v>
      </c>
      <c r="L30" s="1">
        <f t="shared" si="3"/>
        <v>9.6507116633384404E-2</v>
      </c>
      <c r="M30" s="1">
        <f t="shared" si="3"/>
        <v>2.2204460492503131E-16</v>
      </c>
    </row>
    <row r="33" spans="1:15">
      <c r="A33" s="1">
        <f>SUM(A19:A29)</f>
        <v>0.1702981826474812</v>
      </c>
      <c r="B33" s="1">
        <f t="shared" ref="B33:M33" si="5">SUM(B19:B29)</f>
        <v>0.6164487973206445</v>
      </c>
      <c r="C33" s="1">
        <f t="shared" si="5"/>
        <v>0.13099153491023219</v>
      </c>
      <c r="D33" s="1">
        <f t="shared" si="5"/>
        <v>0.64321588334988244</v>
      </c>
      <c r="E33" s="1">
        <f t="shared" si="5"/>
        <v>0.2014505451391968</v>
      </c>
      <c r="F33" s="1">
        <f t="shared" si="5"/>
        <v>0.22099171180708721</v>
      </c>
      <c r="G33" s="1">
        <f t="shared" si="5"/>
        <v>0.60369453242049742</v>
      </c>
      <c r="H33" s="1">
        <f t="shared" si="5"/>
        <v>0.35573794885024967</v>
      </c>
      <c r="I33" s="1">
        <f t="shared" si="5"/>
        <v>0.8107010957977554</v>
      </c>
      <c r="J33" s="1">
        <f t="shared" si="5"/>
        <v>0.4644583414029273</v>
      </c>
      <c r="K33" s="1">
        <f t="shared" si="5"/>
        <v>1.4803958632976437</v>
      </c>
      <c r="L33" s="1">
        <f t="shared" si="5"/>
        <v>0.14851944835512598</v>
      </c>
      <c r="M33" s="1">
        <f t="shared" si="5"/>
        <v>18.285028407908655</v>
      </c>
      <c r="O33" s="1">
        <f>MIN(A33:N33)</f>
        <v>0.13099153491023219</v>
      </c>
    </row>
    <row r="34" spans="1:15">
      <c r="A34" s="1">
        <f t="shared" ref="A34:M34" si="6">IF(A33&gt;$O$33,0,A1)</f>
        <v>0</v>
      </c>
      <c r="B34" s="1">
        <f t="shared" si="6"/>
        <v>0</v>
      </c>
      <c r="C34" s="1">
        <f t="shared" si="6"/>
        <v>5.682528787813642E-2</v>
      </c>
      <c r="D34" s="1">
        <f t="shared" si="6"/>
        <v>0</v>
      </c>
      <c r="E34" s="1">
        <f t="shared" si="6"/>
        <v>0</v>
      </c>
      <c r="F34" s="1">
        <f t="shared" si="6"/>
        <v>0</v>
      </c>
      <c r="G34" s="1">
        <f t="shared" si="6"/>
        <v>0</v>
      </c>
      <c r="H34" s="1">
        <f t="shared" si="6"/>
        <v>0</v>
      </c>
      <c r="I34" s="1">
        <f t="shared" si="6"/>
        <v>0</v>
      </c>
      <c r="J34" s="1">
        <f t="shared" si="6"/>
        <v>0</v>
      </c>
      <c r="K34" s="1">
        <f t="shared" si="6"/>
        <v>0</v>
      </c>
      <c r="L34" s="1">
        <f t="shared" si="6"/>
        <v>0</v>
      </c>
      <c r="M34" s="1">
        <f t="shared" si="6"/>
        <v>0</v>
      </c>
      <c r="O34" s="1">
        <f>MAX(A34:N34)</f>
        <v>5.682528787813642E-2</v>
      </c>
    </row>
    <row r="37" spans="1:15">
      <c r="C37" s="1">
        <f>IF(data!$H$7&gt;0,IF(data!$H8&gt;0,LN(data!$H8/data!$H$7)/LN(data!$A8/data!$A$7),1),1)</f>
        <v>0.12874252223741059</v>
      </c>
    </row>
    <row r="38" spans="1:15">
      <c r="C38" s="1">
        <f>IF(data!$H$7&gt;0,IF(data!$H9&gt;0,LN(data!$H9/data!$H$7)/LN(data!$A9/data!$A$7),1),1)</f>
        <v>6.90679255805738E-2</v>
      </c>
      <c r="D38" s="1">
        <f>IF(data!$H$8&gt;0,IF(data!$H9&gt;0,LN(data!$H9/data!$H$8)/LN(data!$A9/data!$A$8),1),1)</f>
        <v>3.6226625170336278E-2</v>
      </c>
    </row>
    <row r="39" spans="1:15">
      <c r="C39" s="1">
        <f>IF(data!$H$7&gt;0,IF(data!$H10&gt;0,LN(data!$H10/data!$H$7)/LN(data!$A10/data!$A$7),1),1)</f>
        <v>6.2305887228421439E-2</v>
      </c>
      <c r="D39" s="1">
        <f>IF(data!$H$8&gt;0,IF(data!$H10&gt;0,LN(data!$H10/data!$H$8)/LN(data!$A10/data!$A$8),1),1)</f>
        <v>4.8811675643327355E-2</v>
      </c>
      <c r="E39" s="1">
        <f>IF(data!$H$9&gt;0,IF(data!$H10&gt;0,LN(data!$H10/data!$H$9)/LN(data!$A10/data!$A$9),1),1)</f>
        <v>5.6173458239710289E-2</v>
      </c>
    </row>
    <row r="40" spans="1:15">
      <c r="C40" s="1">
        <f>IF(data!$H$7&gt;0,IF(data!$H11&gt;0,LN(data!$H11/data!$H$7)/LN(data!$A11/data!$A$7),1),1)</f>
        <v>6.777920856624764E-2</v>
      </c>
      <c r="D40" s="1">
        <f>IF(data!$H$8&gt;0,IF(data!$H11&gt;0,LN(data!$H11/data!$H$8)/LN(data!$A11/data!$A$8),1),1)</f>
        <v>5.9326835096374847E-2</v>
      </c>
      <c r="E40" s="1">
        <f>IF(data!$H$9&gt;0,IF(data!$H11&gt;0,LN(data!$H11/data!$H$9)/LN(data!$A11/data!$A$9),1),1)</f>
        <v>6.7106353937106789E-2</v>
      </c>
      <c r="F40" s="1">
        <f>IF(data!$H$10&gt;0,IF(data!$H11&gt;0,LN(data!$H11/data!$H$10)/LN(data!$A11/data!$A$10),1),1)</f>
        <v>8.1941369009643189E-2</v>
      </c>
    </row>
    <row r="41" spans="1:15">
      <c r="C41" s="1">
        <f>IF(data!$H$7&gt;0,IF(data!$H12&gt;0,LN(data!$H12/data!$H$7)/LN(data!$A12/data!$A$7),1),1)</f>
        <v>5.9543875273492884E-2</v>
      </c>
      <c r="D41" s="1">
        <f>IF(data!$H$8&gt;0,IF(data!$H12&gt;0,LN(data!$H12/data!$H$8)/LN(data!$A12/data!$A$8),1),1)</f>
        <v>5.2837833496079727E-2</v>
      </c>
      <c r="E41" s="1">
        <f>IF(data!$H$9&gt;0,IF(data!$H12&gt;0,LN(data!$H12/data!$H$9)/LN(data!$A12/data!$A$9),1),1)</f>
        <v>5.6388091483589135E-2</v>
      </c>
      <c r="F41" s="1">
        <f>IF(data!$H$10&gt;0,IF(data!$H12&gt;0,LN(data!$H12/data!$H$10)/LN(data!$A12/data!$A$10),1),1)</f>
        <v>5.6511659414122541E-2</v>
      </c>
      <c r="G41" s="1">
        <f>IF(data!$H$11&gt;0,IF(data!$H12&gt;0,LN(data!$H12/data!$H$11)/LN(data!$A12/data!$A$11),1),1)</f>
        <v>3.7770838372585346E-2</v>
      </c>
    </row>
    <row r="42" spans="1:15">
      <c r="C42" s="1">
        <f>IF(data!$H$7&gt;0,IF(data!$H13&gt;0,LN(data!$H13/data!$H$7)/LN(data!$A13/data!$A$7),1),1)</f>
        <v>5.9974882999341013E-2</v>
      </c>
      <c r="D42" s="1">
        <f>IF(data!$H$8&gt;0,IF(data!$H13&gt;0,LN(data!$H13/data!$H$8)/LN(data!$A13/data!$A$8),1),1)</f>
        <v>5.4308424072977056E-2</v>
      </c>
      <c r="E42" s="1">
        <f>IF(data!$H$9&gt;0,IF(data!$H13&gt;0,LN(data!$H13/data!$H$9)/LN(data!$A13/data!$A$9),1),1)</f>
        <v>5.7492470807734723E-2</v>
      </c>
      <c r="F42" s="1">
        <f>IF(data!$H$10&gt;0,IF(data!$H13&gt;0,LN(data!$H13/data!$H$10)/LN(data!$A13/data!$A$10),1),1)</f>
        <v>5.806053860058711E-2</v>
      </c>
      <c r="G42" s="1">
        <f>IF(data!$H$11&gt;0,IF(data!$H13&gt;0,LN(data!$H13/data!$H$11)/LN(data!$A13/data!$A$11),1),1)</f>
        <v>4.6956584807620515E-2</v>
      </c>
      <c r="H42" s="1">
        <f>IF(data!$H$12&gt;0,IF(data!$H13&gt;0,LN(data!$H13/data!$H$12)/LN(data!$A13/data!$A$12),1),1)</f>
        <v>6.265972205780436E-2</v>
      </c>
    </row>
    <row r="43" spans="1:15">
      <c r="C43" s="1">
        <f>IF(data!$H$7&gt;0,IF(data!$H14&gt;0,LN(data!$H14/data!$H$7)/LN(data!$A14/data!$A$7),1),1)</f>
        <v>5.682528787813642E-2</v>
      </c>
      <c r="D43" s="1">
        <f>IF(data!$H$8&gt;0,IF(data!$H14&gt;0,LN(data!$H14/data!$H$8)/LN(data!$A14/data!$A$8),1),1)</f>
        <v>5.1562274120406308E-2</v>
      </c>
      <c r="E43" s="1">
        <f>IF(data!$H$9&gt;0,IF(data!$H14&gt;0,LN(data!$H14/data!$H$9)/LN(data!$A14/data!$A$9),1),1)</f>
        <v>5.3914295776107124E-2</v>
      </c>
      <c r="F43" s="1">
        <f>IF(data!$H$10&gt;0,IF(data!$H14&gt;0,LN(data!$H14/data!$H$10)/LN(data!$A14/data!$A$10),1),1)</f>
        <v>5.3111486681869394E-2</v>
      </c>
      <c r="G43" s="1">
        <f>IF(data!$H$11&gt;0,IF(data!$H14&gt;0,LN(data!$H14/data!$H$11)/LN(data!$A14/data!$A$11),1),1)</f>
        <v>4.2882529246630177E-2</v>
      </c>
      <c r="H43" s="1">
        <f>IF(data!$H$12&gt;0,IF(data!$H14&gt;0,LN(data!$H14/data!$H$12)/LN(data!$A14/data!$A$12),1),1)</f>
        <v>4.7628292166505749E-2</v>
      </c>
      <c r="I43" s="1">
        <f>IF(data!$H$13&gt;0,IF(data!$H14&gt;0,LN(data!$H14/data!$H$13)/LN(data!$A14/data!$A$13),1),1)</f>
        <v>2.9761920934893493E-2</v>
      </c>
    </row>
    <row r="44" spans="1:15">
      <c r="C44" s="1">
        <f>IF(data!$H$7&gt;0,IF(data!$H15&gt;0,LN(data!$H15/data!$H$7)/LN(data!$A15/data!$A$7),1),1)</f>
        <v>6.4675262687114293E-2</v>
      </c>
      <c r="D44" s="1">
        <f>IF(data!$H$8&gt;0,IF(data!$H15&gt;0,LN(data!$H15/data!$H$8)/LN(data!$A15/data!$A$8),1),1)</f>
        <v>6.0233899740282454E-2</v>
      </c>
      <c r="E44" s="1">
        <f>IF(data!$H$9&gt;0,IF(data!$H15&gt;0,LN(data!$H15/data!$H$9)/LN(data!$A15/data!$A$9),1),1)</f>
        <v>6.3693797053141099E-2</v>
      </c>
      <c r="F44" s="1">
        <f>IF(data!$H$10&gt;0,IF(data!$H15&gt;0,LN(data!$H15/data!$H$10)/LN(data!$A15/data!$A$10),1),1)</f>
        <v>6.6152312967029406E-2</v>
      </c>
      <c r="G44" s="1">
        <f>IF(data!$H$11&gt;0,IF(data!$H15&gt;0,LN(data!$H15/data!$H$11)/LN(data!$A15/data!$A$11),1),1)</f>
        <v>6.1140964384190116E-2</v>
      </c>
      <c r="H44" s="1">
        <f>IF(data!$H$12&gt;0,IF(data!$H15&gt;0,LN(data!$H15/data!$H$12)/LN(data!$A15/data!$A$12),1),1)</f>
        <v>7.8819782242733338E-2</v>
      </c>
      <c r="I44" s="1">
        <f>IF(data!$H$13&gt;0,IF(data!$H15&gt;0,LN(data!$H15/data!$H$13)/LN(data!$A15/data!$A$13),1),1)</f>
        <v>9.1646743626562346E-2</v>
      </c>
      <c r="J44" s="1">
        <f>IF(data!$H$14&gt;0,IF(data!$H15&gt;0,LN(data!$H15/data!$H$14)/LN(data!$A15/data!$A$14),1),1)</f>
        <v>0.21604833687070532</v>
      </c>
    </row>
    <row r="45" spans="1:15">
      <c r="C45" s="1">
        <f>IF(data!$H$7&gt;0,IF(data!$H16&gt;0,LN(data!$H16/data!$H$7)/LN(data!$A16/data!$A$7),1),1)</f>
        <v>6.1679206050662606E-2</v>
      </c>
      <c r="D45" s="1">
        <f>IF(data!$H$8&gt;0,IF(data!$H16&gt;0,LN(data!$H16/data!$H$8)/LN(data!$A16/data!$A$8),1),1)</f>
        <v>5.7279359509117424E-2</v>
      </c>
      <c r="E45" s="1">
        <f>IF(data!$H$9&gt;0,IF(data!$H16&gt;0,LN(data!$H16/data!$H$9)/LN(data!$A16/data!$A$9),1),1)</f>
        <v>6.0128796115987343E-2</v>
      </c>
      <c r="F45" s="1">
        <f>IF(data!$H$10&gt;0,IF(data!$H16&gt;0,LN(data!$H16/data!$H$10)/LN(data!$A16/data!$A$10),1),1)</f>
        <v>6.1319471459732565E-2</v>
      </c>
      <c r="G45" s="1">
        <f>IF(data!$H$11&gt;0,IF(data!$H16&gt;0,LN(data!$H16/data!$H$11)/LN(data!$A16/data!$A$11),1),1)</f>
        <v>5.544022602523805E-2</v>
      </c>
      <c r="H45" s="1">
        <f>IF(data!$H$12&gt;0,IF(data!$H16&gt;0,LN(data!$H16/data!$H$12)/LN(data!$A16/data!$A$12),1),1)</f>
        <v>6.6588368422684563E-2</v>
      </c>
      <c r="I45" s="1">
        <f>IF(data!$H$13&gt;0,IF(data!$H16&gt;0,LN(data!$H16/data!$H$13)/LN(data!$A16/data!$A$13),1),1)</f>
        <v>6.8886479224734135E-2</v>
      </c>
      <c r="J45" s="1">
        <f>IF(data!$H$14&gt;0,IF(data!$H16&gt;0,LN(data!$H16/data!$H$14)/LN(data!$A16/data!$A$14),1),1)</f>
        <v>0.10680056677260148</v>
      </c>
      <c r="K45" s="1">
        <f>IF(data!$H$15&gt;0,IF(data!$H16&gt;0,LN(data!$H16/data!$H$15)/LN(data!$A16/data!$A$15),1),1)</f>
        <v>5.1171342027291275E-3</v>
      </c>
    </row>
    <row r="46" spans="1:15">
      <c r="C46" s="1">
        <f>IF(data!$H$7&gt;0,IF(data!$H17&gt;0,LN(data!$H17/data!$H$7)/LN(data!$A17/data!$A$7),1),1)</f>
        <v>6.1383752159358276E-2</v>
      </c>
      <c r="D46" s="1">
        <f>IF(data!$H$8&gt;0,IF(data!$H17&gt;0,LN(data!$H17/data!$H$8)/LN(data!$A17/data!$A$8),1),1)</f>
        <v>5.7367326908440819E-2</v>
      </c>
      <c r="E46" s="1">
        <f>IF(data!$H$9&gt;0,IF(data!$H17&gt;0,LN(data!$H17/data!$H$9)/LN(data!$A17/data!$A$9),1),1)</f>
        <v>5.9936172160833287E-2</v>
      </c>
      <c r="F46" s="1">
        <f>IF(data!$H$10&gt;0,IF(data!$H17&gt;0,LN(data!$H17/data!$H$10)/LN(data!$A17/data!$A$10),1),1)</f>
        <v>6.092271562705992E-2</v>
      </c>
      <c r="G46" s="1">
        <f>IF(data!$H$11&gt;0,IF(data!$H17&gt;0,LN(data!$H17/data!$H$11)/LN(data!$A17/data!$A$11),1),1)</f>
        <v>5.5888701437601614E-2</v>
      </c>
      <c r="H46" s="1">
        <f>IF(data!$H$12&gt;0,IF(data!$H17&gt;0,LN(data!$H17/data!$H$12)/LN(data!$A17/data!$A$12),1),1)</f>
        <v>6.4611491306921509E-2</v>
      </c>
      <c r="I46" s="1">
        <f>IF(data!$H$13&gt;0,IF(data!$H17&gt;0,LN(data!$H17/data!$H$13)/LN(data!$A17/data!$A$13),1),1)</f>
        <v>6.5376657523279244E-2</v>
      </c>
      <c r="J46" s="1">
        <f>IF(data!$H$14&gt;0,IF(data!$H17&gt;0,LN(data!$H17/data!$H$14)/LN(data!$A17/data!$A$14),1),1)</f>
        <v>8.290482660848715E-2</v>
      </c>
      <c r="K46" s="1">
        <f>IF(data!$H$15&gt;0,IF(data!$H17&gt;0,LN(data!$H17/data!$H$15)/LN(data!$A17/data!$A$15),1),1)</f>
        <v>3.9738963681818194E-2</v>
      </c>
      <c r="L46" s="1">
        <f>IF(data!$H$16&gt;0,IF(data!$H17&gt;0,LN(data!$H17/data!$H$16)/LN(data!$A17/data!$A$16),1),1)</f>
        <v>5.8244461688965285E-2</v>
      </c>
    </row>
    <row r="47" spans="1:15">
      <c r="C47" s="1">
        <f>IF(data!$H$7&gt;0,IF(data!$H18&gt;0,LN(data!$H18/data!$H$7)/LN(data!$A18/data!$A$7),1),1)</f>
        <v>7.9400994218433607E-2</v>
      </c>
      <c r="D47" s="1">
        <f>IF(data!$H$8&gt;0,IF(data!$H18&gt;0,LN(data!$H18/data!$H$8)/LN(data!$A18/data!$A$8),1),1)</f>
        <v>7.6586531273265132E-2</v>
      </c>
      <c r="E47" s="1">
        <f>IF(data!$H$9&gt;0,IF(data!$H18&gt;0,LN(data!$H18/data!$H$9)/LN(data!$A18/data!$A$9),1),1)</f>
        <v>8.1253368145904989E-2</v>
      </c>
      <c r="F47" s="1">
        <f>IF(data!$H$10&gt;0,IF(data!$H18&gt;0,LN(data!$H18/data!$H$10)/LN(data!$A18/data!$A$10),1),1)</f>
        <v>8.743236957524346E-2</v>
      </c>
      <c r="G47" s="1">
        <f>IF(data!$H$11&gt;0,IF(data!$H18&gt;0,LN(data!$H18/data!$H$11)/LN(data!$A18/data!$A$11),1),1)</f>
        <v>8.865054118486454E-2</v>
      </c>
      <c r="H47" s="1">
        <f>IF(data!$H$12&gt;0,IF(data!$H18&gt;0,LN(data!$H18/data!$H$12)/LN(data!$A18/data!$A$12),1),1)</f>
        <v>0.11056323646785399</v>
      </c>
      <c r="I47" s="1">
        <f>IF(data!$H$13&gt;0,IF(data!$H18&gt;0,LN(data!$H18/data!$H$13)/LN(data!$A18/data!$A$13),1),1)</f>
        <v>0.12669582981152699</v>
      </c>
      <c r="J47" s="1">
        <f>IF(data!$H$14&gt;0,IF(data!$H18&gt;0,LN(data!$H18/data!$H$14)/LN(data!$A18/data!$A$14),1),1)</f>
        <v>0.16501891736459706</v>
      </c>
      <c r="K47" s="1">
        <f>IF(data!$H$15&gt;0,IF(data!$H18&gt;0,LN(data!$H18/data!$H$15)/LN(data!$A18/data!$A$15),1),1)</f>
        <v>0.15252580043681213</v>
      </c>
      <c r="L47" s="1">
        <f>IF(data!$H$16&gt;0,IF(data!$H18&gt;0,LN(data!$H18/data!$H$16)/LN(data!$A18/data!$A$16),1),1)</f>
        <v>0.20513823071112042</v>
      </c>
      <c r="M47" s="1">
        <f>IF(data!$H$17&gt;0,IF(data!$H18&gt;0,LN(data!$H18/data!$H$17)/LN(data!$A18/data!$A$17),1),1)</f>
        <v>0.5003640561148851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4:B17"/>
  <sheetViews>
    <sheetView workbookViewId="0">
      <selection activeCell="A17" sqref="A17"/>
    </sheetView>
  </sheetViews>
  <sheetFormatPr defaultRowHeight="15"/>
  <cols>
    <col min="1" max="2" width="9.140625" style="1"/>
  </cols>
  <sheetData>
    <row r="4" spans="1:2">
      <c r="A4" s="40">
        <f>IF(data!H7&gt;0,IF(data!A7&lt;=data!$A$20,data!M7,""),"")</f>
        <v>1.0000000000287557E-6</v>
      </c>
      <c r="B4" s="40" t="str">
        <f>IF(data!H7&gt;0,IF(data!A7&gt;=data!$A$20,data!M7,""),"")</f>
        <v/>
      </c>
    </row>
    <row r="5" spans="1:2">
      <c r="A5" s="40">
        <f>IF(data!H8&gt;0,IF(data!A8&lt;=data!$A$20,data!M8,""),"")</f>
        <v>1.6178325678848249E-2</v>
      </c>
      <c r="B5" s="40" t="str">
        <f>IF(data!H8&gt;0,IF(data!A8&gt;=data!$A$20,data!M8,""),"")</f>
        <v/>
      </c>
    </row>
    <row r="6" spans="1:2">
      <c r="A6" s="40">
        <f>IF(data!H9&gt;0,IF(data!A9&lt;=data!$A$20,data!M9,""),"")</f>
        <v>7.7265170703971764E-3</v>
      </c>
      <c r="B6" s="40" t="str">
        <f>IF(data!H9&gt;0,IF(data!A9&gt;=data!$A$20,data!M9,""),"")</f>
        <v/>
      </c>
    </row>
    <row r="7" spans="1:2">
      <c r="A7" s="40">
        <f>IF(data!H10&gt;0,IF(data!A10&lt;=data!$A$20,data!M10,""),"")</f>
        <v>7.271315539432055E-3</v>
      </c>
      <c r="B7" s="40" t="str">
        <f>IF(data!H10&gt;0,IF(data!A10&gt;=data!$A$20,data!M10,""),"")</f>
        <v/>
      </c>
    </row>
    <row r="8" spans="1:2">
      <c r="A8" s="40">
        <f>IF(data!H11&gt;0,IF(data!A11&lt;=data!$A$20,data!M11,""),"")</f>
        <v>2.027778875458297E-2</v>
      </c>
      <c r="B8" s="40" t="str">
        <f>IF(data!H11&gt;0,IF(data!A11&gt;=data!$A$20,data!M11,""),"")</f>
        <v/>
      </c>
    </row>
    <row r="9" spans="1:2">
      <c r="A9" s="40">
        <f>IF(data!H12&gt;0,IF(data!A12&lt;=data!$A$20,data!M12,""),"")</f>
        <v>6.8910419261248856E-3</v>
      </c>
      <c r="B9" s="40" t="str">
        <f>IF(data!H12&gt;0,IF(data!A12&gt;=data!$A$20,data!M12,""),"")</f>
        <v/>
      </c>
    </row>
    <row r="10" spans="1:2">
      <c r="A10" s="40">
        <f>IF(data!H13&gt;0,IF(data!A13&lt;=data!$A$20,data!M13,""),"")</f>
        <v>9.2758205795221427E-3</v>
      </c>
      <c r="B10" s="40" t="str">
        <f>IF(data!H13&gt;0,IF(data!A13&gt;=data!$A$20,data!M13,""),"")</f>
        <v/>
      </c>
    </row>
    <row r="11" spans="1:2">
      <c r="A11" s="40">
        <f>IF(data!H14&gt;0,IF(data!A14&lt;=data!$A$20,data!M14,""),"")</f>
        <v>1.0000000000287557E-6</v>
      </c>
      <c r="B11" s="40" t="str">
        <f>IF(data!H14&gt;0,IF(data!A14&gt;=data!$A$20,data!M14,""),"")</f>
        <v/>
      </c>
    </row>
    <row r="12" spans="1:2">
      <c r="A12" s="40">
        <f>IF(data!H15&gt;0,IF(data!A15&lt;=data!$A$20,data!M15,""),"")</f>
        <v>2.7389109294650882E-2</v>
      </c>
      <c r="B12" s="40" t="str">
        <f>IF(data!H15&gt;0,IF(data!A15&gt;=data!$A$20,data!M15,""),"")</f>
        <v/>
      </c>
    </row>
    <row r="13" spans="1:2">
      <c r="A13" s="40">
        <f>IF(data!H16&gt;0,IF(data!A16&lt;=data!$A$20,data!M16,""),"")</f>
        <v>1.7748909459227913E-2</v>
      </c>
      <c r="B13" s="40" t="str">
        <f>IF(data!H16&gt;0,IF(data!A16&gt;=data!$A$20,data!M16,""),"")</f>
        <v/>
      </c>
    </row>
    <row r="14" spans="1:2">
      <c r="A14" s="40">
        <f>IF(data!H17&gt;0,IF(data!A17&lt;=data!$A$20,data!M17,""),"")</f>
        <v>1.8241706607445951E-2</v>
      </c>
      <c r="B14" s="40" t="str">
        <f>IF(data!H17&gt;0,IF(data!A17&gt;=data!$A$20,data!M17,""),"")</f>
        <v/>
      </c>
    </row>
    <row r="15" spans="1:2">
      <c r="A15" s="40">
        <f>IF(data!H18&gt;0,IF(data!A18&lt;=data!$A$20,data!M18,0),"")</f>
        <v>9.785164127635626E-2</v>
      </c>
      <c r="B15" s="40">
        <f>IF(data!H18&gt;0,IF(data!A18&gt;=data!$A$20,data!M18,0),"")</f>
        <v>0</v>
      </c>
    </row>
    <row r="17" spans="1:2">
      <c r="A17" s="40">
        <f>MIN(A4:A15)</f>
        <v>1.0000000000287557E-6</v>
      </c>
      <c r="B17" s="40">
        <f>MIN(B4:B15)</f>
        <v>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V15"/>
  <sheetViews>
    <sheetView topLeftCell="Q1" workbookViewId="0">
      <selection activeCell="X15" sqref="X15:AM15"/>
    </sheetView>
  </sheetViews>
  <sheetFormatPr defaultRowHeight="15"/>
  <cols>
    <col min="1" max="2" width="9.5703125" bestFit="1" customWidth="1"/>
    <col min="3" max="21" width="10.28515625" bestFit="1" customWidth="1"/>
    <col min="26" max="37" width="9.28515625" style="1" bestFit="1" customWidth="1"/>
    <col min="38" max="48" width="9.140625" style="1"/>
  </cols>
  <sheetData>
    <row r="1" spans="1:39" ht="15.75" thickTop="1">
      <c r="A1" s="44">
        <v>0.1</v>
      </c>
      <c r="B1" s="45">
        <v>0.2</v>
      </c>
      <c r="C1" s="44">
        <v>0.4</v>
      </c>
      <c r="D1" s="45">
        <v>0.6</v>
      </c>
      <c r="E1" s="45">
        <v>0.8</v>
      </c>
      <c r="F1" s="44">
        <v>1</v>
      </c>
      <c r="G1" s="44">
        <v>1.5</v>
      </c>
      <c r="H1" s="46">
        <v>1.609</v>
      </c>
      <c r="I1" s="44">
        <v>2</v>
      </c>
      <c r="J1" s="44">
        <v>3</v>
      </c>
      <c r="K1" s="46">
        <f>H1*2</f>
        <v>3.218</v>
      </c>
      <c r="L1" s="44">
        <v>5</v>
      </c>
      <c r="M1" s="44">
        <v>10</v>
      </c>
      <c r="N1" s="44">
        <v>15</v>
      </c>
      <c r="O1" s="46">
        <f>H1*10</f>
        <v>16.09</v>
      </c>
      <c r="P1" s="44">
        <v>20</v>
      </c>
      <c r="Q1" s="46">
        <v>21.097999999999999</v>
      </c>
      <c r="R1" s="44">
        <v>25</v>
      </c>
      <c r="S1" s="44">
        <v>30</v>
      </c>
      <c r="T1" s="44">
        <v>42.195</v>
      </c>
      <c r="U1" s="47">
        <v>100</v>
      </c>
      <c r="W1" s="1">
        <f>data!A4</f>
        <v>0.1</v>
      </c>
      <c r="X1" s="1">
        <f>data!A5</f>
        <v>0.2</v>
      </c>
      <c r="Y1" s="1">
        <f>data!A6</f>
        <v>0.4</v>
      </c>
      <c r="Z1" s="1">
        <f>data!A7</f>
        <v>0.8</v>
      </c>
      <c r="AA1" s="1">
        <f>data!A8</f>
        <v>1</v>
      </c>
      <c r="AB1" s="1">
        <f>data!A9</f>
        <v>1.5</v>
      </c>
      <c r="AC1" s="1">
        <f>data!A10</f>
        <v>3</v>
      </c>
      <c r="AD1" s="1">
        <f>data!A11</f>
        <v>5</v>
      </c>
      <c r="AE1" s="1">
        <f>data!A12</f>
        <v>10</v>
      </c>
      <c r="AF1" s="1">
        <f>data!A13</f>
        <v>15</v>
      </c>
      <c r="AG1" s="1">
        <f>data!A14</f>
        <v>21.097999999999999</v>
      </c>
      <c r="AH1" s="1">
        <f>data!A15</f>
        <v>25</v>
      </c>
      <c r="AI1" s="1">
        <f>data!A16</f>
        <v>30</v>
      </c>
      <c r="AJ1" s="1">
        <f>data!A17</f>
        <v>42.195</v>
      </c>
      <c r="AK1" s="1">
        <f>data!A18</f>
        <v>50</v>
      </c>
      <c r="AL1" s="69">
        <f>data!A19</f>
        <v>15.641893354151478</v>
      </c>
      <c r="AM1" s="69">
        <f>data!A20</f>
        <v>100</v>
      </c>
    </row>
    <row r="2" spans="1:39">
      <c r="A2" s="52"/>
      <c r="B2" s="53"/>
      <c r="C2" s="52"/>
      <c r="D2" s="53"/>
      <c r="E2" s="53"/>
      <c r="F2" s="52"/>
      <c r="G2" s="52"/>
      <c r="H2" s="54"/>
      <c r="I2" s="52"/>
      <c r="J2" s="52"/>
      <c r="K2" s="54"/>
      <c r="L2" s="52"/>
      <c r="M2" s="52"/>
      <c r="N2" s="52"/>
      <c r="O2" s="54"/>
      <c r="P2" s="52"/>
      <c r="Q2" s="54"/>
      <c r="R2" s="52"/>
      <c r="S2" s="52"/>
      <c r="T2" s="52"/>
      <c r="U2" s="55"/>
      <c r="W2" s="22">
        <f>data!$B$4</f>
        <v>1.9560185185185183E-4</v>
      </c>
      <c r="X2" s="22">
        <f>data!$B$5</f>
        <v>4.259259259259259E-4</v>
      </c>
      <c r="Y2" s="22">
        <f>data!$B$6</f>
        <v>8.6747685185185181E-4</v>
      </c>
      <c r="Z2" s="22">
        <f>data!$B$7</f>
        <v>1.7997685185185185E-3</v>
      </c>
      <c r="AA2" s="22">
        <f>data!$B$8</f>
        <v>2.3152777777777776E-3</v>
      </c>
      <c r="AB2" s="22">
        <f>data!$B$9</f>
        <v>3.5243055555555553E-3</v>
      </c>
      <c r="AC2" s="22">
        <f>data!$B$10</f>
        <v>7.3284722222222223E-3</v>
      </c>
      <c r="AD2" s="22">
        <f>data!$B$11</f>
        <v>1.2736226851851851E-2</v>
      </c>
      <c r="AE2" s="22">
        <f>data!$B$12</f>
        <v>2.6148148148148153E-2</v>
      </c>
      <c r="AF2" s="22">
        <f>data!$B$13</f>
        <v>4.0231481481481479E-2</v>
      </c>
      <c r="AG2" s="22">
        <f>data!$B$14</f>
        <v>5.7164351851851848E-2</v>
      </c>
      <c r="AH2" s="22">
        <f>data!$B$15</f>
        <v>7.0266203703703692E-2</v>
      </c>
      <c r="AI2" s="22">
        <f>data!$B$16</f>
        <v>8.4398148148148153E-2</v>
      </c>
      <c r="AJ2" s="22">
        <f>data!$B$17</f>
        <v>0.12108796296296297</v>
      </c>
      <c r="AK2" s="22">
        <f>data!$B$18</f>
        <v>0.15620370370370371</v>
      </c>
      <c r="AL2" s="22">
        <f>data!$B$19</f>
        <v>4.1666666666666664E-2</v>
      </c>
      <c r="AM2" s="22">
        <f>data!$B$20</f>
        <v>0.3911458333333333</v>
      </c>
    </row>
    <row r="3" spans="1:39">
      <c r="A3" s="62">
        <v>1.9673068664278375E-4</v>
      </c>
      <c r="B3" s="62">
        <v>4.1405002802355571E-4</v>
      </c>
      <c r="C3" s="62">
        <v>9.374355271301836E-4</v>
      </c>
      <c r="D3" s="62">
        <v>1.5161596472400476E-3</v>
      </c>
      <c r="E3" s="62">
        <v>2.1295763896815433E-3</v>
      </c>
      <c r="F3" s="62">
        <v>2.7777098703453094E-3</v>
      </c>
      <c r="G3" s="62">
        <v>4.4559591466930238E-3</v>
      </c>
      <c r="H3" s="62">
        <v>4.8031814608156687E-3</v>
      </c>
      <c r="I3" s="62">
        <v>6.1110428656540403E-3</v>
      </c>
      <c r="J3" s="62">
        <v>9.7221719992504913E-3</v>
      </c>
      <c r="K3" s="62">
        <v>1.0472173419260423E-2</v>
      </c>
      <c r="L3" s="62">
        <v>1.6667381984597357E-2</v>
      </c>
      <c r="M3" s="62">
        <v>3.6458330670334362E-2</v>
      </c>
      <c r="N3" s="62">
        <v>5.6336745315752952E-2</v>
      </c>
      <c r="O3" s="62">
        <v>6.0753644567858381E-2</v>
      </c>
      <c r="P3" s="62">
        <v>7.6718739415910064E-2</v>
      </c>
      <c r="Q3" s="62">
        <v>8.1242949427614994E-2</v>
      </c>
      <c r="R3" s="62">
        <v>9.8789741315126647E-2</v>
      </c>
      <c r="S3" s="62">
        <v>0.1218807508847515</v>
      </c>
      <c r="T3" s="62">
        <v>0.1805481719419566</v>
      </c>
      <c r="U3" s="63">
        <v>0.56249430765961317</v>
      </c>
      <c r="W3" s="58">
        <f t="shared" ref="W3:W8" si="0">IF(W$1=$A$1,$A3,0)+IF(W$1=$B$1,$B3,0)+IF(W$1=$C$1,$C3,0)+IF(W$1=$D$1,$D3,0)+IF(W$1=$E$1,$E3,0)+IF(W$1=$F$1,$F3,0)+IF(W$1=$G$1,$G3,0)+IF(W$1=$H$1,$H3,0)+IF(W$1=$I$1,$I3,0)+IF(W$1=$J$1,$J3,0)+IF(W$1=$K$1,$K3,0)+IF(W$1=$L$1,$L3,0)+IF(W$1=$M$1,$M3,0)+IF(W$1=$N$1,$N3,0)+IF(W$1=$O$1,$O3,0)+IF(W$1=$P$1,$P3,0)+IF(W$1=$Q$1,$Q3,0)+IF(W$1=$R$1,$R3,0)+IF(W$1=$S$1,$S3,0)+IF(W$1=$T$1,$T3,0)+IF(W$1=$U$1,$U3,0)</f>
        <v>1.9673068664278375E-4</v>
      </c>
      <c r="X3" s="58">
        <f t="shared" ref="X3:AM8" si="1">IF(X$1=$A$1,$A3,0)+IF(X$1=$B$1,$B3,0)+IF(X$1=$C$1,$C3,0)+IF(X$1=$D$1,$D3,0)+IF(X$1=$E$1,$E3,0)+IF(X$1=$F$1,$F3,0)+IF(X$1=$G$1,$G3,0)+IF(X$1=$H$1,$H3,0)+IF(X$1=$I$1,$I3,0)+IF(X$1=$J$1,$J3,0)+IF(X$1=$K$1,$K3,0)+IF(X$1=$L$1,$L3,0)+IF(X$1=$M$1,$M3,0)+IF(X$1=$N$1,$N3,0)+IF(X$1=$O$1,$O3,0)+IF(X$1=$P$1,$P3,0)+IF(X$1=$Q$1,$Q3,0)+IF(X$1=$R$1,$R3,0)+IF(X$1=$S$1,$S3,0)+IF(X$1=$T$1,$T3,0)+IF(X$1=$U$1,$U3,0)</f>
        <v>4.1405002802355571E-4</v>
      </c>
      <c r="Y3" s="58">
        <f t="shared" si="1"/>
        <v>9.374355271301836E-4</v>
      </c>
      <c r="Z3" s="58">
        <f t="shared" si="1"/>
        <v>2.1295763896815433E-3</v>
      </c>
      <c r="AA3" s="58">
        <f t="shared" si="1"/>
        <v>2.7777098703453094E-3</v>
      </c>
      <c r="AB3" s="58">
        <f t="shared" si="1"/>
        <v>4.4559591466930238E-3</v>
      </c>
      <c r="AC3" s="58">
        <f t="shared" si="1"/>
        <v>9.7221719992504913E-3</v>
      </c>
      <c r="AD3" s="58">
        <f t="shared" si="1"/>
        <v>1.6667381984597357E-2</v>
      </c>
      <c r="AE3" s="58">
        <f t="shared" si="1"/>
        <v>3.6458330670334362E-2</v>
      </c>
      <c r="AF3" s="58">
        <f t="shared" si="1"/>
        <v>5.6336745315752952E-2</v>
      </c>
      <c r="AG3" s="58">
        <f t="shared" si="1"/>
        <v>8.1242949427614994E-2</v>
      </c>
      <c r="AH3" s="58">
        <f t="shared" si="1"/>
        <v>9.8789741315126647E-2</v>
      </c>
      <c r="AI3" s="58">
        <f t="shared" si="1"/>
        <v>0.1218807508847515</v>
      </c>
      <c r="AJ3" s="58">
        <f t="shared" si="1"/>
        <v>0.1805481719419566</v>
      </c>
      <c r="AK3" s="58">
        <f t="shared" si="1"/>
        <v>0</v>
      </c>
      <c r="AL3" s="58">
        <f t="shared" si="1"/>
        <v>0</v>
      </c>
      <c r="AM3" s="58">
        <f t="shared" si="1"/>
        <v>0.56249430765961317</v>
      </c>
    </row>
    <row r="4" spans="1:39">
      <c r="A4" s="59">
        <v>183953000000</v>
      </c>
      <c r="B4" s="59">
        <v>37646900000</v>
      </c>
      <c r="C4" s="59">
        <v>6785800000</v>
      </c>
      <c r="D4" s="59">
        <v>2739540000</v>
      </c>
      <c r="E4" s="59">
        <v>1401760000</v>
      </c>
      <c r="F4" s="59">
        <v>801745000</v>
      </c>
      <c r="G4" s="59">
        <v>303525000</v>
      </c>
      <c r="H4" s="59">
        <v>262018000</v>
      </c>
      <c r="I4" s="59">
        <v>162811000</v>
      </c>
      <c r="J4" s="59">
        <v>60839800</v>
      </c>
      <c r="K4" s="59">
        <v>52478600</v>
      </c>
      <c r="L4" s="59">
        <v>20736700</v>
      </c>
      <c r="M4" s="59">
        <v>3911630</v>
      </c>
      <c r="N4" s="59">
        <v>1613920</v>
      </c>
      <c r="O4" s="59">
        <v>1382880</v>
      </c>
      <c r="P4" s="59">
        <v>856238</v>
      </c>
      <c r="Q4" s="59">
        <v>761463</v>
      </c>
      <c r="R4" s="59">
        <v>505016</v>
      </c>
      <c r="S4" s="59">
        <v>324950</v>
      </c>
      <c r="T4" s="59">
        <v>142583</v>
      </c>
      <c r="U4" s="60">
        <v>13175.6</v>
      </c>
      <c r="W4" s="58">
        <f t="shared" si="0"/>
        <v>183953000000</v>
      </c>
      <c r="X4" s="58">
        <f t="shared" si="1"/>
        <v>37646900000</v>
      </c>
      <c r="Y4" s="58">
        <f t="shared" si="1"/>
        <v>6785800000</v>
      </c>
      <c r="Z4" s="58">
        <f t="shared" si="1"/>
        <v>1401760000</v>
      </c>
      <c r="AA4" s="58">
        <f t="shared" si="1"/>
        <v>801745000</v>
      </c>
      <c r="AB4" s="58">
        <f t="shared" si="1"/>
        <v>303525000</v>
      </c>
      <c r="AC4" s="58">
        <f t="shared" si="1"/>
        <v>60839800</v>
      </c>
      <c r="AD4" s="58">
        <f t="shared" si="1"/>
        <v>20736700</v>
      </c>
      <c r="AE4" s="58">
        <f t="shared" si="1"/>
        <v>3911630</v>
      </c>
      <c r="AF4" s="58">
        <f t="shared" si="1"/>
        <v>1613920</v>
      </c>
      <c r="AG4" s="58">
        <f t="shared" si="1"/>
        <v>761463</v>
      </c>
      <c r="AH4" s="58">
        <f t="shared" si="1"/>
        <v>505016</v>
      </c>
      <c r="AI4" s="58">
        <f t="shared" si="1"/>
        <v>324950</v>
      </c>
      <c r="AJ4" s="58">
        <f t="shared" si="1"/>
        <v>142583</v>
      </c>
      <c r="AK4" s="58">
        <f t="shared" si="1"/>
        <v>0</v>
      </c>
      <c r="AL4" s="58">
        <f t="shared" si="1"/>
        <v>0</v>
      </c>
      <c r="AM4" s="58">
        <f t="shared" si="1"/>
        <v>13175.6</v>
      </c>
    </row>
    <row r="5" spans="1:39">
      <c r="A5" s="62">
        <v>2.71909542908573E-4</v>
      </c>
      <c r="B5" s="62">
        <v>5.7285646066953188E-4</v>
      </c>
      <c r="C5" s="62">
        <v>1.354108038128752E-3</v>
      </c>
      <c r="D5" s="62">
        <v>2.1295814504428468E-3</v>
      </c>
      <c r="E5" s="62">
        <v>2.8934498776402523E-3</v>
      </c>
      <c r="F5" s="62">
        <v>3.8193954951448138E-3</v>
      </c>
      <c r="G5" s="62">
        <v>6.2499750074977503E-3</v>
      </c>
      <c r="H5" s="62">
        <v>6.7129065344476279E-3</v>
      </c>
      <c r="I5" s="62">
        <v>8.6804961590243122E-3</v>
      </c>
      <c r="J5" s="62">
        <v>1.3888833197034848E-2</v>
      </c>
      <c r="K5" s="62">
        <v>1.5003415745967866E-2</v>
      </c>
      <c r="L5" s="62">
        <v>2.4305500291792667E-2</v>
      </c>
      <c r="M5" s="62">
        <v>5.2083333333333336E-2</v>
      </c>
      <c r="N5" s="62">
        <v>7.9912361285977798E-2</v>
      </c>
      <c r="O5" s="62">
        <v>8.6081868112006771E-2</v>
      </c>
      <c r="P5" s="62">
        <v>0.10829212023625083</v>
      </c>
      <c r="Q5" s="62">
        <v>0.11457849477055725</v>
      </c>
      <c r="R5" s="62">
        <v>0.14054803534498966</v>
      </c>
      <c r="S5" s="62">
        <v>0.17502747691469475</v>
      </c>
      <c r="T5" s="62">
        <v>0.26388141557456213</v>
      </c>
      <c r="U5" s="63">
        <v>0.70832771336958733</v>
      </c>
      <c r="W5" s="58">
        <f t="shared" si="0"/>
        <v>2.71909542908573E-4</v>
      </c>
      <c r="X5" s="58">
        <f t="shared" si="1"/>
        <v>5.7285646066953188E-4</v>
      </c>
      <c r="Y5" s="58">
        <f t="shared" si="1"/>
        <v>1.354108038128752E-3</v>
      </c>
      <c r="Z5" s="58">
        <f t="shared" si="1"/>
        <v>2.8934498776402523E-3</v>
      </c>
      <c r="AA5" s="58">
        <f t="shared" si="1"/>
        <v>3.8193954951448138E-3</v>
      </c>
      <c r="AB5" s="58">
        <f t="shared" si="1"/>
        <v>6.2499750074977503E-3</v>
      </c>
      <c r="AC5" s="58">
        <f t="shared" si="1"/>
        <v>1.3888833197034848E-2</v>
      </c>
      <c r="AD5" s="58">
        <f t="shared" si="1"/>
        <v>2.4305500291792667E-2</v>
      </c>
      <c r="AE5" s="58">
        <f t="shared" si="1"/>
        <v>5.2083333333333336E-2</v>
      </c>
      <c r="AF5" s="58">
        <f t="shared" si="1"/>
        <v>7.9912361285977798E-2</v>
      </c>
      <c r="AG5" s="58">
        <f t="shared" si="1"/>
        <v>0.11457849477055725</v>
      </c>
      <c r="AH5" s="58">
        <f t="shared" si="1"/>
        <v>0.14054803534498966</v>
      </c>
      <c r="AI5" s="58">
        <f t="shared" si="1"/>
        <v>0.17502747691469475</v>
      </c>
      <c r="AJ5" s="58">
        <f t="shared" si="1"/>
        <v>0.26388141557456213</v>
      </c>
      <c r="AK5" s="58">
        <f t="shared" si="1"/>
        <v>0</v>
      </c>
      <c r="AL5" s="58">
        <f t="shared" si="1"/>
        <v>0</v>
      </c>
      <c r="AM5" s="58">
        <f t="shared" si="1"/>
        <v>0.70832771336958733</v>
      </c>
    </row>
    <row r="6" spans="1:39">
      <c r="A6" s="59">
        <v>57220500000</v>
      </c>
      <c r="B6" s="59">
        <v>12145800000</v>
      </c>
      <c r="C6" s="59">
        <v>2000590000</v>
      </c>
      <c r="D6" s="59">
        <v>889811000</v>
      </c>
      <c r="E6" s="59">
        <v>509563000</v>
      </c>
      <c r="F6" s="59">
        <v>285159000</v>
      </c>
      <c r="G6" s="59">
        <v>100030000</v>
      </c>
      <c r="H6" s="59">
        <v>86966800</v>
      </c>
      <c r="I6" s="59">
        <v>50508000</v>
      </c>
      <c r="J6" s="59">
        <v>18953500</v>
      </c>
      <c r="K6" s="59">
        <v>16101900</v>
      </c>
      <c r="L6" s="59">
        <v>6031680</v>
      </c>
      <c r="M6" s="59">
        <v>1278000</v>
      </c>
      <c r="N6" s="59">
        <v>546448</v>
      </c>
      <c r="O6" s="59">
        <v>470293</v>
      </c>
      <c r="P6" s="59">
        <v>295618</v>
      </c>
      <c r="Q6" s="59">
        <v>263508</v>
      </c>
      <c r="R6" s="59">
        <v>170208</v>
      </c>
      <c r="S6" s="59">
        <v>106453</v>
      </c>
      <c r="T6" s="59">
        <v>44417.3</v>
      </c>
      <c r="U6" s="60">
        <v>6524.36</v>
      </c>
      <c r="W6" s="58">
        <f t="shared" si="0"/>
        <v>57220500000</v>
      </c>
      <c r="X6" s="58">
        <f t="shared" si="1"/>
        <v>12145800000</v>
      </c>
      <c r="Y6" s="58">
        <f t="shared" si="1"/>
        <v>2000590000</v>
      </c>
      <c r="Z6" s="58">
        <f t="shared" si="1"/>
        <v>509563000</v>
      </c>
      <c r="AA6" s="58">
        <f t="shared" si="1"/>
        <v>285159000</v>
      </c>
      <c r="AB6" s="58">
        <f t="shared" si="1"/>
        <v>100030000</v>
      </c>
      <c r="AC6" s="58">
        <f t="shared" si="1"/>
        <v>18953500</v>
      </c>
      <c r="AD6" s="58">
        <f t="shared" si="1"/>
        <v>6031680</v>
      </c>
      <c r="AE6" s="58">
        <f t="shared" si="1"/>
        <v>1278000</v>
      </c>
      <c r="AF6" s="58">
        <f t="shared" si="1"/>
        <v>546448</v>
      </c>
      <c r="AG6" s="58">
        <f t="shared" si="1"/>
        <v>263508</v>
      </c>
      <c r="AH6" s="58">
        <f t="shared" si="1"/>
        <v>170208</v>
      </c>
      <c r="AI6" s="58">
        <f t="shared" si="1"/>
        <v>106453</v>
      </c>
      <c r="AJ6" s="58">
        <f t="shared" si="1"/>
        <v>44417.3</v>
      </c>
      <c r="AK6" s="58">
        <f t="shared" si="1"/>
        <v>0</v>
      </c>
      <c r="AL6" s="58">
        <f t="shared" si="1"/>
        <v>0</v>
      </c>
      <c r="AM6" s="58">
        <f t="shared" si="1"/>
        <v>6524.36</v>
      </c>
    </row>
    <row r="7" spans="1:39">
      <c r="A7" s="72">
        <v>1.1087962962962965E-4</v>
      </c>
      <c r="B7" s="72">
        <v>2.2210648148148152E-4</v>
      </c>
      <c r="C7" s="72">
        <v>4.9803240740740743E-4</v>
      </c>
      <c r="D7" s="72"/>
      <c r="E7" s="72">
        <v>1.1679398148148148E-3</v>
      </c>
      <c r="F7" s="72">
        <v>1.5273148148148147E-3</v>
      </c>
      <c r="G7" s="72">
        <v>2.3842592592592591E-3</v>
      </c>
      <c r="H7" s="72">
        <v>2.5825231481481485E-3</v>
      </c>
      <c r="I7" s="72">
        <v>3.2961805555555557E-3</v>
      </c>
      <c r="J7" s="72">
        <v>5.1003472222222223E-3</v>
      </c>
      <c r="K7" s="72"/>
      <c r="L7" s="72">
        <v>8.7656250000000008E-3</v>
      </c>
      <c r="M7" s="72">
        <v>1.8258449074074073E-2</v>
      </c>
      <c r="N7" s="72"/>
      <c r="O7" s="72"/>
      <c r="P7" s="72"/>
      <c r="Q7" s="72">
        <v>4.0289351851851847E-2</v>
      </c>
      <c r="R7" s="72"/>
      <c r="S7" s="73"/>
      <c r="T7" s="73">
        <v>8.4479166666666661E-2</v>
      </c>
      <c r="U7" s="73"/>
      <c r="W7" s="58">
        <f t="shared" si="0"/>
        <v>1.1087962962962965E-4</v>
      </c>
      <c r="X7" s="58">
        <f t="shared" si="1"/>
        <v>2.2210648148148152E-4</v>
      </c>
      <c r="Y7" s="58">
        <f t="shared" si="1"/>
        <v>4.9803240740740743E-4</v>
      </c>
      <c r="Z7" s="58">
        <f t="shared" si="1"/>
        <v>1.1679398148148148E-3</v>
      </c>
      <c r="AA7" s="58">
        <f t="shared" si="1"/>
        <v>1.5273148148148147E-3</v>
      </c>
      <c r="AB7" s="58">
        <f t="shared" si="1"/>
        <v>2.3842592592592591E-3</v>
      </c>
      <c r="AC7" s="58">
        <f t="shared" si="1"/>
        <v>5.1003472222222223E-3</v>
      </c>
      <c r="AD7" s="58">
        <f t="shared" si="1"/>
        <v>8.7656250000000008E-3</v>
      </c>
      <c r="AE7" s="58">
        <f t="shared" si="1"/>
        <v>1.8258449074074073E-2</v>
      </c>
      <c r="AF7" s="58">
        <f t="shared" si="1"/>
        <v>0</v>
      </c>
      <c r="AG7" s="58">
        <f t="shared" si="1"/>
        <v>4.0289351851851847E-2</v>
      </c>
      <c r="AH7" s="58">
        <f t="shared" si="1"/>
        <v>0</v>
      </c>
      <c r="AI7" s="58">
        <f t="shared" si="1"/>
        <v>0</v>
      </c>
      <c r="AJ7" s="58">
        <f t="shared" si="1"/>
        <v>8.4479166666666661E-2</v>
      </c>
      <c r="AK7" s="58">
        <f t="shared" si="1"/>
        <v>0</v>
      </c>
      <c r="AL7" s="58">
        <f t="shared" si="1"/>
        <v>0</v>
      </c>
      <c r="AM7" s="58">
        <f t="shared" si="1"/>
        <v>0</v>
      </c>
    </row>
    <row r="8" spans="1:39">
      <c r="A8" s="72">
        <v>1.2141203703703705E-4</v>
      </c>
      <c r="B8" s="72">
        <v>2.4699074074074076E-4</v>
      </c>
      <c r="C8" s="72">
        <v>5.5092592592592595E-4</v>
      </c>
      <c r="D8" s="72"/>
      <c r="E8" s="72">
        <v>1.311111111111111E-3</v>
      </c>
      <c r="F8" s="72">
        <v>1.7243055555555555E-3</v>
      </c>
      <c r="G8" s="72">
        <v>2.6628472222222223E-3</v>
      </c>
      <c r="H8" s="72">
        <v>2.9204861111111111E-3</v>
      </c>
      <c r="I8" s="72">
        <v>3.7471064814814815E-3</v>
      </c>
      <c r="J8" s="72">
        <v>5.6262731481481485E-3</v>
      </c>
      <c r="K8" s="72"/>
      <c r="L8" s="72">
        <v>9.8512731481481489E-3</v>
      </c>
      <c r="M8" s="72">
        <v>2.0309606481481481E-2</v>
      </c>
      <c r="N8" s="72"/>
      <c r="O8" s="72"/>
      <c r="P8" s="72"/>
      <c r="Q8" s="74">
        <v>4.4803240740740741E-2</v>
      </c>
      <c r="R8" s="72"/>
      <c r="S8" s="73"/>
      <c r="T8" s="73">
        <v>9.5150462962962964E-2</v>
      </c>
      <c r="U8" s="73"/>
      <c r="W8" s="58">
        <f t="shared" si="0"/>
        <v>1.2141203703703705E-4</v>
      </c>
      <c r="X8" s="58">
        <f t="shared" si="1"/>
        <v>2.4699074074074076E-4</v>
      </c>
      <c r="Y8" s="58">
        <f t="shared" si="1"/>
        <v>5.5092592592592595E-4</v>
      </c>
      <c r="Z8" s="58">
        <f t="shared" si="1"/>
        <v>1.311111111111111E-3</v>
      </c>
      <c r="AA8" s="58">
        <f t="shared" si="1"/>
        <v>1.7243055555555555E-3</v>
      </c>
      <c r="AB8" s="58">
        <f t="shared" si="1"/>
        <v>2.6628472222222223E-3</v>
      </c>
      <c r="AC8" s="58">
        <f t="shared" si="1"/>
        <v>5.6262731481481485E-3</v>
      </c>
      <c r="AD8" s="58">
        <f t="shared" si="1"/>
        <v>9.8512731481481489E-3</v>
      </c>
      <c r="AE8" s="58">
        <f t="shared" si="1"/>
        <v>2.0309606481481481E-2</v>
      </c>
      <c r="AF8" s="58">
        <f t="shared" si="1"/>
        <v>0</v>
      </c>
      <c r="AG8" s="58">
        <f t="shared" si="1"/>
        <v>4.4803240740740741E-2</v>
      </c>
      <c r="AH8" s="58">
        <f t="shared" si="1"/>
        <v>0</v>
      </c>
      <c r="AI8" s="58">
        <f t="shared" si="1"/>
        <v>0</v>
      </c>
      <c r="AJ8" s="58">
        <f t="shared" si="1"/>
        <v>9.5150462962962964E-2</v>
      </c>
      <c r="AK8" s="58">
        <f t="shared" si="1"/>
        <v>0</v>
      </c>
      <c r="AL8" s="58">
        <f t="shared" si="1"/>
        <v>0</v>
      </c>
      <c r="AM8" s="58">
        <f t="shared" si="1"/>
        <v>0</v>
      </c>
    </row>
    <row r="9" spans="1:39">
      <c r="W9" s="22">
        <f>IF(data!$D$2="muž",výpočty3!W3,výpočty3!W5)</f>
        <v>1.9673068664278375E-4</v>
      </c>
      <c r="X9" s="22">
        <f>IF(data!$D$2="muž",výpočty3!X3,výpočty3!X5)</f>
        <v>4.1405002802355571E-4</v>
      </c>
      <c r="Y9" s="22">
        <f>IF(data!$D$2="muž",výpočty3!Y3,výpočty3!Y5)</f>
        <v>9.374355271301836E-4</v>
      </c>
      <c r="Z9" s="22">
        <f>IF(data!$D$2="muž",výpočty3!Z3,výpočty3!Z5)</f>
        <v>2.1295763896815433E-3</v>
      </c>
      <c r="AA9" s="22">
        <f>IF(data!$D$2="muž",výpočty3!AA3,výpočty3!AA5)</f>
        <v>2.7777098703453094E-3</v>
      </c>
      <c r="AB9" s="22">
        <f>IF(data!$D$2="muž",výpočty3!AB3,výpočty3!AB5)</f>
        <v>4.4559591466930238E-3</v>
      </c>
      <c r="AC9" s="22">
        <f>IF(data!$D$2="muž",výpočty3!AC3,výpočty3!AC5)</f>
        <v>9.7221719992504913E-3</v>
      </c>
      <c r="AD9" s="22">
        <f>IF(data!$D$2="muž",výpočty3!AD3,výpočty3!AD5)</f>
        <v>1.6667381984597357E-2</v>
      </c>
      <c r="AE9" s="22">
        <f>IF(data!$D$2="muž",výpočty3!AE3,výpočty3!AE5)</f>
        <v>3.6458330670334362E-2</v>
      </c>
      <c r="AF9" s="22">
        <f>IF(data!$D$2="muž",výpočty3!AF3,výpočty3!AF5)</f>
        <v>5.6336745315752952E-2</v>
      </c>
      <c r="AG9" s="22">
        <f>IF(data!$D$2="muž",výpočty3!AG3,výpočty3!AG5)</f>
        <v>8.1242949427614994E-2</v>
      </c>
      <c r="AH9" s="22">
        <f>IF(data!$D$2="muž",výpočty3!AH3,výpočty3!AH5)</f>
        <v>9.8789741315126647E-2</v>
      </c>
      <c r="AI9" s="22">
        <f>IF(data!$D$2="muž",výpočty3!AI3,výpočty3!AI5)</f>
        <v>0.1218807508847515</v>
      </c>
      <c r="AJ9" s="22">
        <f>IF(data!$D$2="muž",výpočty3!AJ3,výpočty3!AJ5)</f>
        <v>0.1805481719419566</v>
      </c>
      <c r="AK9" s="22">
        <f>IF(data!$D$2="muž",výpočty3!AK3,výpočty3!AK5)</f>
        <v>0</v>
      </c>
      <c r="AL9" s="22">
        <f>IF(data!$D$2="muž",výpočty3!AL3,výpočty3!AL5)</f>
        <v>0</v>
      </c>
      <c r="AM9" s="22">
        <f>IF(data!$D$2="muž",výpočty3!AM3,výpočty3!AM5)</f>
        <v>0.56249430765961317</v>
      </c>
    </row>
    <row r="10" spans="1:39"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W10" s="1">
        <f>IF(data!$D$2="muž",výpočty3!W4,výpočty3!W6)</f>
        <v>183953000000</v>
      </c>
      <c r="X10" s="1">
        <f>IF(data!$D$2="muž",výpočty3!X4,výpočty3!X6)</f>
        <v>37646900000</v>
      </c>
      <c r="Y10" s="1">
        <f>IF(data!$D$2="muž",výpočty3!Y4,výpočty3!Y6)</f>
        <v>6785800000</v>
      </c>
      <c r="Z10" s="1">
        <f>IF(data!$D$2="muž",výpočty3!Z4,výpočty3!Z6)</f>
        <v>1401760000</v>
      </c>
      <c r="AA10" s="1">
        <f>IF(data!$D$2="muž",výpočty3!AA4,výpočty3!AA6)</f>
        <v>801745000</v>
      </c>
      <c r="AB10" s="1">
        <f>IF(data!$D$2="muž",výpočty3!AB4,výpočty3!AB6)</f>
        <v>303525000</v>
      </c>
      <c r="AC10" s="1">
        <f>IF(data!$D$2="muž",výpočty3!AC4,výpočty3!AC6)</f>
        <v>60839800</v>
      </c>
      <c r="AD10" s="1">
        <f>IF(data!$D$2="muž",výpočty3!AD4,výpočty3!AD6)</f>
        <v>20736700</v>
      </c>
      <c r="AE10" s="1">
        <f>IF(data!$D$2="muž",výpočty3!AE4,výpočty3!AE6)</f>
        <v>3911630</v>
      </c>
      <c r="AF10" s="1">
        <f>IF(data!$D$2="muž",výpočty3!AF4,výpočty3!AF6)</f>
        <v>1613920</v>
      </c>
      <c r="AG10" s="1">
        <f>IF(data!$D$2="muž",výpočty3!AG4,výpočty3!AG6)</f>
        <v>761463</v>
      </c>
      <c r="AH10" s="1">
        <f>IF(data!$D$2="muž",výpočty3!AH4,výpočty3!AH6)</f>
        <v>505016</v>
      </c>
      <c r="AI10" s="1">
        <f>IF(data!$D$2="muž",výpočty3!AI4,výpočty3!AI6)</f>
        <v>324950</v>
      </c>
      <c r="AJ10" s="1">
        <f>IF(data!$D$2="muž",výpočty3!AJ4,výpočty3!AJ6)</f>
        <v>142583</v>
      </c>
      <c r="AK10" s="1">
        <f>IF(data!$D$2="muž",výpočty3!AK4,výpočty3!AK6)</f>
        <v>0</v>
      </c>
      <c r="AL10" s="1">
        <f>IF(data!$D$2="muž",výpočty3!AL4,výpočty3!AL6)</f>
        <v>0</v>
      </c>
      <c r="AM10" s="1">
        <f>IF(data!$D$2="muž",výpočty3!AM4,výpočty3!AM6)</f>
        <v>13175.6</v>
      </c>
    </row>
    <row r="11" spans="1:39">
      <c r="W11" s="1"/>
      <c r="X11" s="1"/>
      <c r="Y11" s="1"/>
    </row>
    <row r="12" spans="1:39">
      <c r="W12" s="1">
        <f>ROUND(IF(W2&gt;0,IF(W2&lt;W9,W10*(W9-W2)^2,0),0),0)</f>
        <v>0</v>
      </c>
      <c r="X12" s="1">
        <f>ROUND(IF(X2&gt;0,IF(X2&lt;X9,X10*(X9-X2)^2,0),0),0)</f>
        <v>0</v>
      </c>
      <c r="Y12" s="1">
        <f>ROUND(IF(Y2&gt;0,IF(Y2&lt;Y9,Y10*(Y9-Y2)^2,0),0),0)</f>
        <v>33</v>
      </c>
      <c r="Z12" s="1">
        <f>ROUND(IF(Z2&gt;0,IF(Z2&lt;Z9,Z10*(Z9-Z2)^2,0),0),0)</f>
        <v>152</v>
      </c>
      <c r="AA12" s="1">
        <f t="shared" ref="AA12:AK12" si="2">ROUND(IF(AA2&gt;0,IF(AA2&lt;AA9,AA10*(AA9-AA2)^2,0),0),0)</f>
        <v>171</v>
      </c>
      <c r="AB12" s="1">
        <f t="shared" si="2"/>
        <v>263</v>
      </c>
      <c r="AC12" s="1">
        <f t="shared" si="2"/>
        <v>349</v>
      </c>
      <c r="AD12" s="1">
        <f t="shared" si="2"/>
        <v>320</v>
      </c>
      <c r="AE12" s="1">
        <f t="shared" si="2"/>
        <v>416</v>
      </c>
      <c r="AF12" s="1">
        <f t="shared" si="2"/>
        <v>419</v>
      </c>
      <c r="AG12" s="1">
        <f t="shared" si="2"/>
        <v>441</v>
      </c>
      <c r="AH12" s="1">
        <f t="shared" si="2"/>
        <v>411</v>
      </c>
      <c r="AI12" s="1">
        <f t="shared" si="2"/>
        <v>457</v>
      </c>
      <c r="AJ12" s="1">
        <f t="shared" si="2"/>
        <v>504</v>
      </c>
      <c r="AK12" s="1">
        <f t="shared" si="2"/>
        <v>0</v>
      </c>
      <c r="AL12" s="1">
        <f>ROUND(IF(AL2&gt;0,IF(AL2&lt;AL9,AL10*(AL9-AL2)^2,0),0),0)</f>
        <v>0</v>
      </c>
      <c r="AM12" s="1">
        <f>ROUND(IF(AM2&gt;0,IF(AM2&lt;AM9,AM10*(AM9-AM2)^2,0),0),0)</f>
        <v>387</v>
      </c>
    </row>
    <row r="14" spans="1:39">
      <c r="W14" s="22">
        <f>IF(data!$D$2="muž",výpočty3!W7,výpočty3!W8)</f>
        <v>1.1087962962962965E-4</v>
      </c>
      <c r="X14" s="22">
        <f>IF(data!$D$2="muž",výpočty3!X7,výpočty3!X8)</f>
        <v>2.2210648148148152E-4</v>
      </c>
      <c r="Y14" s="22">
        <f>IF(data!$D$2="muž",výpočty3!Y7,výpočty3!Y8)</f>
        <v>4.9803240740740743E-4</v>
      </c>
      <c r="Z14" s="22">
        <f>IF(data!$D$2="muž",výpočty3!Z7,výpočty3!Z8)</f>
        <v>1.1679398148148148E-3</v>
      </c>
      <c r="AA14" s="22">
        <f>IF(data!$D$2="muž",výpočty3!AA7,výpočty3!AA8)</f>
        <v>1.5273148148148147E-3</v>
      </c>
      <c r="AB14" s="22">
        <f>IF(data!$D$2="muž",výpočty3!AB7,výpočty3!AB8)</f>
        <v>2.3842592592592591E-3</v>
      </c>
      <c r="AC14" s="22">
        <f>IF(data!$D$2="muž",výpočty3!AC7,výpočty3!AC8)</f>
        <v>5.1003472222222223E-3</v>
      </c>
      <c r="AD14" s="22">
        <f>IF(data!$D$2="muž",výpočty3!AD7,výpočty3!AD8)</f>
        <v>8.7656250000000008E-3</v>
      </c>
      <c r="AE14" s="22">
        <f>IF(data!$D$2="muž",výpočty3!AE7,výpočty3!AE8)</f>
        <v>1.8258449074074073E-2</v>
      </c>
      <c r="AF14" s="22">
        <f>IF(data!$D$2="muž",výpočty3!AF7,výpočty3!AF8)</f>
        <v>0</v>
      </c>
      <c r="AG14" s="22">
        <f>IF(data!$D$2="muž",výpočty3!AG7,výpočty3!AG8)</f>
        <v>4.0289351851851847E-2</v>
      </c>
      <c r="AH14" s="22">
        <f>IF(data!$D$2="muž",výpočty3!AH7,výpočty3!AH8)</f>
        <v>0</v>
      </c>
      <c r="AI14" s="22">
        <f>IF(data!$D$2="muž",výpočty3!AI7,výpočty3!AI8)</f>
        <v>0</v>
      </c>
      <c r="AJ14" s="22">
        <f>IF(data!$D$2="muž",výpočty3!AJ7,výpočty3!AJ8)</f>
        <v>8.4479166666666661E-2</v>
      </c>
      <c r="AK14" s="22">
        <f>IF(data!$D$2="muž",výpočty3!AK7,výpočty3!AK8)</f>
        <v>0</v>
      </c>
      <c r="AL14" s="22">
        <f>IF(data!$D$2="muž",výpočty3!AL7,výpočty3!AL8)</f>
        <v>0</v>
      </c>
      <c r="AM14" s="22">
        <f>IF(data!$D$2="muž",výpočty3!AM7,výpočty3!AM8)</f>
        <v>0</v>
      </c>
    </row>
    <row r="15" spans="1:39">
      <c r="W15" s="75">
        <f>IF(W2*W14&gt;0,W2/W14,"")</f>
        <v>1.7640918580375777</v>
      </c>
      <c r="X15" s="75">
        <f t="shared" ref="X15:AM15" si="3">IF(X2*X14&gt;0,X2/X14,"")</f>
        <v>1.9176654507556015</v>
      </c>
      <c r="Y15" s="75">
        <f t="shared" si="3"/>
        <v>1.7418080409016963</v>
      </c>
      <c r="Z15" s="75">
        <f t="shared" si="3"/>
        <v>1.5409771083143395</v>
      </c>
      <c r="AA15" s="75">
        <f t="shared" si="3"/>
        <v>1.5159139133070627</v>
      </c>
      <c r="AB15" s="75">
        <f t="shared" si="3"/>
        <v>1.4781553398058251</v>
      </c>
      <c r="AC15" s="75">
        <f t="shared" si="3"/>
        <v>1.4368575124242631</v>
      </c>
      <c r="AD15" s="75">
        <f t="shared" si="3"/>
        <v>1.4529741863075194</v>
      </c>
      <c r="AE15" s="75">
        <f t="shared" si="3"/>
        <v>1.4321122260749404</v>
      </c>
      <c r="AF15" s="75" t="str">
        <f t="shared" si="3"/>
        <v/>
      </c>
      <c r="AG15" s="75">
        <f t="shared" si="3"/>
        <v>1.4188451594369436</v>
      </c>
      <c r="AH15" s="75" t="str">
        <f t="shared" si="3"/>
        <v/>
      </c>
      <c r="AI15" s="75" t="str">
        <f t="shared" si="3"/>
        <v/>
      </c>
      <c r="AJ15" s="75">
        <f t="shared" si="3"/>
        <v>1.4333470338402523</v>
      </c>
      <c r="AK15" s="75" t="str">
        <f t="shared" si="3"/>
        <v/>
      </c>
      <c r="AL15" s="75" t="str">
        <f t="shared" si="3"/>
        <v/>
      </c>
      <c r="AM15" s="75" t="str">
        <f t="shared" si="3"/>
        <v/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7:E18"/>
  <sheetViews>
    <sheetView workbookViewId="0">
      <selection activeCell="E7" sqref="E7"/>
    </sheetView>
  </sheetViews>
  <sheetFormatPr defaultRowHeight="15"/>
  <cols>
    <col min="1" max="5" width="9.140625" style="1"/>
  </cols>
  <sheetData>
    <row r="7" spans="1:5">
      <c r="A7" s="1">
        <f>data!A7</f>
        <v>0.8</v>
      </c>
      <c r="B7" s="67">
        <f>data!H7</f>
        <v>2.2497106481481478E-3</v>
      </c>
      <c r="C7" s="40">
        <f>data!M7</f>
        <v>1.0000000000287557E-6</v>
      </c>
      <c r="D7" s="22">
        <f t="shared" ref="D7:D16" si="0">MIN(D8,IF(B7&gt;0,B7,1))</f>
        <v>2.2497106481481478E-3</v>
      </c>
      <c r="E7" s="1" t="str">
        <f>IF(B7&gt;0,IF(C7&lt;0.0001,"nejlepší",IF(B7&gt;D7,"vyřadit","")),"")</f>
        <v>nejlepší</v>
      </c>
    </row>
    <row r="8" spans="1:5">
      <c r="A8" s="1">
        <f>data!A8</f>
        <v>1</v>
      </c>
      <c r="B8" s="67">
        <f>data!H8</f>
        <v>2.3152777777777776E-3</v>
      </c>
      <c r="C8" s="40">
        <f>data!M8</f>
        <v>1.6178325678848249E-2</v>
      </c>
      <c r="D8" s="22">
        <f t="shared" si="0"/>
        <v>2.3152777777777776E-3</v>
      </c>
      <c r="E8" s="1" t="str">
        <f t="shared" ref="E8:E18" si="1">IF(B8&gt;0,IF(C8&lt;0.0001,"nejlepší",IF(B8&gt;D8,"vyřadit","")),"")</f>
        <v/>
      </c>
    </row>
    <row r="9" spans="1:5">
      <c r="A9" s="1">
        <f>data!A9</f>
        <v>1.5</v>
      </c>
      <c r="B9" s="67">
        <f>data!H9</f>
        <v>2.3495370370370367E-3</v>
      </c>
      <c r="C9" s="40">
        <f>data!M9</f>
        <v>7.7265170703971764E-3</v>
      </c>
      <c r="D9" s="22">
        <f t="shared" si="0"/>
        <v>2.3495370370370367E-3</v>
      </c>
      <c r="E9" s="1" t="str">
        <f t="shared" si="1"/>
        <v/>
      </c>
    </row>
    <row r="10" spans="1:5">
      <c r="A10" s="1">
        <f>data!A10</f>
        <v>3</v>
      </c>
      <c r="B10" s="67">
        <f>data!H10</f>
        <v>2.4428240740740743E-3</v>
      </c>
      <c r="C10" s="40">
        <f>data!M10</f>
        <v>7.271315539432055E-3</v>
      </c>
      <c r="D10" s="22">
        <f t="shared" si="0"/>
        <v>2.4428240740740743E-3</v>
      </c>
      <c r="E10" s="1" t="str">
        <f t="shared" si="1"/>
        <v/>
      </c>
    </row>
    <row r="11" spans="1:5">
      <c r="A11" s="1">
        <f>data!A11</f>
        <v>5</v>
      </c>
      <c r="B11" s="67">
        <f>data!H11</f>
        <v>2.5472453703703703E-3</v>
      </c>
      <c r="C11" s="40">
        <f>data!M11</f>
        <v>2.027778875458297E-2</v>
      </c>
      <c r="D11" s="22">
        <f t="shared" si="0"/>
        <v>2.5472453703703703E-3</v>
      </c>
      <c r="E11" s="1" t="str">
        <f t="shared" si="1"/>
        <v/>
      </c>
    </row>
    <row r="12" spans="1:5">
      <c r="A12" s="1">
        <f>data!A12</f>
        <v>10</v>
      </c>
      <c r="B12" s="67">
        <f>data!H12</f>
        <v>2.6148148148148155E-3</v>
      </c>
      <c r="C12" s="40">
        <f>data!M12</f>
        <v>6.8910419261248856E-3</v>
      </c>
      <c r="D12" s="22">
        <f t="shared" si="0"/>
        <v>2.6148148148148155E-3</v>
      </c>
      <c r="E12" s="1" t="str">
        <f t="shared" si="1"/>
        <v/>
      </c>
    </row>
    <row r="13" spans="1:5">
      <c r="A13" s="1">
        <f>data!A13</f>
        <v>15</v>
      </c>
      <c r="B13" s="67">
        <f>data!H13</f>
        <v>2.6820987654320987E-3</v>
      </c>
      <c r="C13" s="40">
        <f>data!M13</f>
        <v>9.2758205795221427E-3</v>
      </c>
      <c r="D13" s="22">
        <f t="shared" si="0"/>
        <v>2.6820987654320987E-3</v>
      </c>
      <c r="E13" s="1" t="str">
        <f t="shared" si="1"/>
        <v/>
      </c>
    </row>
    <row r="14" spans="1:5">
      <c r="A14" s="1">
        <f>data!A14</f>
        <v>21.097999999999999</v>
      </c>
      <c r="B14" s="67">
        <f>data!H14</f>
        <v>2.7094678098327734E-3</v>
      </c>
      <c r="C14" s="40">
        <f>data!M14</f>
        <v>1.0000000000287557E-6</v>
      </c>
      <c r="D14" s="22">
        <f t="shared" si="0"/>
        <v>2.7094678098327734E-3</v>
      </c>
      <c r="E14" s="1" t="str">
        <f t="shared" si="1"/>
        <v>nejlepší</v>
      </c>
    </row>
    <row r="15" spans="1:5">
      <c r="A15" s="1">
        <f>data!A15</f>
        <v>25</v>
      </c>
      <c r="B15" s="67">
        <f>data!H15</f>
        <v>2.8106481481481476E-3</v>
      </c>
      <c r="C15" s="40">
        <f>data!M15</f>
        <v>2.7389109294650882E-2</v>
      </c>
      <c r="D15" s="22">
        <f t="shared" si="0"/>
        <v>2.8106481481481476E-3</v>
      </c>
      <c r="E15" s="1" t="str">
        <f t="shared" si="1"/>
        <v/>
      </c>
    </row>
    <row r="16" spans="1:5">
      <c r="A16" s="1">
        <f>data!A16</f>
        <v>30</v>
      </c>
      <c r="B16" s="67">
        <f>data!H16</f>
        <v>2.8132716049382718E-3</v>
      </c>
      <c r="C16" s="40">
        <f>data!M16</f>
        <v>1.7748909459227913E-2</v>
      </c>
      <c r="D16" s="22">
        <f t="shared" si="0"/>
        <v>2.8132716049382718E-3</v>
      </c>
      <c r="E16" s="1" t="str">
        <f t="shared" si="1"/>
        <v/>
      </c>
    </row>
    <row r="17" spans="1:5">
      <c r="A17" s="1">
        <f>data!A17</f>
        <v>42.195</v>
      </c>
      <c r="B17" s="67">
        <f>data!H17</f>
        <v>2.8697230231772238E-3</v>
      </c>
      <c r="C17" s="40">
        <f>data!M17</f>
        <v>1.8241706607445951E-2</v>
      </c>
      <c r="D17" s="22">
        <f>MIN(D18,IF(B17&gt;0,B17,1))</f>
        <v>2.8697230231772238E-3</v>
      </c>
      <c r="E17" s="1" t="str">
        <f t="shared" si="1"/>
        <v/>
      </c>
    </row>
    <row r="18" spans="1:5">
      <c r="A18" s="1">
        <f>data!A18</f>
        <v>50</v>
      </c>
      <c r="B18" s="67">
        <f>data!H18</f>
        <v>3.1240740740740743E-3</v>
      </c>
      <c r="C18" s="40">
        <f>data!M18</f>
        <v>9.785164127635626E-2</v>
      </c>
      <c r="D18" s="22">
        <f>IF(B18&gt;0,B18,1)</f>
        <v>3.1240740740740743E-3</v>
      </c>
      <c r="E18" s="1" t="str">
        <f t="shared" si="1"/>
        <v/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data</vt:lpstr>
      <vt:lpstr>výpočty</vt:lpstr>
      <vt:lpstr>výpočty2</vt:lpstr>
      <vt:lpstr>výpočty3</vt:lpstr>
      <vt:lpstr>výpočty4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Uživatel systému Windows</cp:lastModifiedBy>
  <cp:lastPrinted>2016-10-14T06:26:19Z</cp:lastPrinted>
  <dcterms:created xsi:type="dcterms:W3CDTF">2011-05-11T09:27:14Z</dcterms:created>
  <dcterms:modified xsi:type="dcterms:W3CDTF">2021-06-09T14:09:13Z</dcterms:modified>
</cp:coreProperties>
</file>